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8B118ED3-D7EC-428A-91B8-442F6AB2E591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P50～51" sheetId="1" r:id="rId1"/>
    <sheet name="P52～53" sheetId="9" r:id="rId2"/>
    <sheet name="P54～55" sheetId="8" r:id="rId3"/>
    <sheet name="Sheet1" sheetId="4" state="hidden" r:id="rId4"/>
    <sheet name="Sheet3" sheetId="6" state="hidden" r:id="rId5"/>
  </sheets>
  <definedNames>
    <definedName name="_xlnm.Print_Area" localSheetId="0">'P50～51'!$A$1:$X$59</definedName>
  </definedNames>
  <calcPr calcId="191029"/>
</workbook>
</file>

<file path=xl/calcChain.xml><?xml version="1.0" encoding="utf-8"?>
<calcChain xmlns="http://schemas.openxmlformats.org/spreadsheetml/2006/main">
  <c r="R54" i="8" l="1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7" i="1"/>
  <c r="C7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<sst xmlns="http://schemas.openxmlformats.org/spreadsheetml/2006/main" count="840" uniqueCount="479">
  <si>
    <t>都道府県</t>
    <rPh sb="0" eb="4">
      <t>トドウフケン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</si>
  <si>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</si>
  <si>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</si>
  <si>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総　数</t>
    <rPh sb="0" eb="1">
      <t>フサ</t>
    </rPh>
    <rPh sb="2" eb="3">
      <t>カズ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</si>
  <si>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</si>
  <si>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</si>
  <si>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</si>
  <si>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市</t>
    <rPh sb="0" eb="1">
      <t>シ</t>
    </rPh>
    <phoneticPr fontId="6"/>
  </si>
  <si>
    <t>世帯</t>
    <rPh sb="0" eb="2">
      <t>セタイ</t>
    </rPh>
    <phoneticPr fontId="6"/>
  </si>
  <si>
    <t>千人</t>
    <rPh sb="0" eb="2">
      <t>センニン</t>
    </rPh>
    <phoneticPr fontId="6"/>
  </si>
  <si>
    <t>％</t>
    <phoneticPr fontId="6"/>
  </si>
  <si>
    <t>全国</t>
  </si>
  <si>
    <t>北海道</t>
  </si>
  <si>
    <t>資料</t>
    <rPh sb="0" eb="2">
      <t>シリョウ</t>
    </rPh>
    <phoneticPr fontId="6"/>
  </si>
  <si>
    <t>農   　　林   　　業</t>
    <rPh sb="0" eb="1">
      <t>ノウ</t>
    </rPh>
    <rPh sb="6" eb="7">
      <t>ハヤシ</t>
    </rPh>
    <rPh sb="12" eb="13">
      <t>ギョウ</t>
    </rPh>
    <phoneticPr fontId="6"/>
  </si>
  <si>
    <t>田</t>
    <rPh sb="0" eb="1">
      <t>タ</t>
    </rPh>
    <phoneticPr fontId="6"/>
  </si>
  <si>
    <t>普通畑</t>
    <rPh sb="0" eb="2">
      <t>フツウ</t>
    </rPh>
    <rPh sb="2" eb="3">
      <t>ハタ</t>
    </rPh>
    <phoneticPr fontId="6"/>
  </si>
  <si>
    <t>樹園地</t>
    <rPh sb="0" eb="1">
      <t>ジュ</t>
    </rPh>
    <rPh sb="1" eb="2">
      <t>エン</t>
    </rPh>
    <rPh sb="2" eb="3">
      <t>チ</t>
    </rPh>
    <phoneticPr fontId="6"/>
  </si>
  <si>
    <t>牧草地</t>
    <rPh sb="0" eb="3">
      <t>ボクソウチ</t>
    </rPh>
    <phoneticPr fontId="6"/>
  </si>
  <si>
    <t>町</t>
    <rPh sb="0" eb="1">
      <t>チョウ</t>
    </rPh>
    <phoneticPr fontId="6"/>
  </si>
  <si>
    <t>村</t>
    <rPh sb="0" eb="1">
      <t>ムラ</t>
    </rPh>
    <phoneticPr fontId="6"/>
  </si>
  <si>
    <t>戸</t>
    <rPh sb="0" eb="1">
      <t>コ</t>
    </rPh>
    <phoneticPr fontId="6"/>
  </si>
  <si>
    <t>人</t>
    <rPh sb="0" eb="1">
      <t>ニン</t>
    </rPh>
    <phoneticPr fontId="6"/>
  </si>
  <si>
    <t>ha</t>
    <phoneticPr fontId="6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</si>
  <si>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6"/>
  </si>
  <si>
    <t>青森県</t>
    <rPh sb="2" eb="3">
      <t>ケン</t>
    </rPh>
    <phoneticPr fontId="6"/>
  </si>
  <si>
    <t>岩手県</t>
    <rPh sb="2" eb="3">
      <t>ケン</t>
    </rPh>
    <phoneticPr fontId="6"/>
  </si>
  <si>
    <t>宮城県</t>
    <rPh sb="2" eb="3">
      <t>ケン</t>
    </rPh>
    <phoneticPr fontId="6"/>
  </si>
  <si>
    <t>秋田県</t>
    <rPh sb="2" eb="3">
      <t>ケン</t>
    </rPh>
    <phoneticPr fontId="6"/>
  </si>
  <si>
    <t>山形県</t>
    <rPh sb="2" eb="3">
      <t>ケン</t>
    </rPh>
    <phoneticPr fontId="6"/>
  </si>
  <si>
    <t>福島県</t>
    <rPh sb="2" eb="3">
      <t>ケン</t>
    </rPh>
    <phoneticPr fontId="6"/>
  </si>
  <si>
    <t>茨城県</t>
    <rPh sb="2" eb="3">
      <t>ケン</t>
    </rPh>
    <phoneticPr fontId="6"/>
  </si>
  <si>
    <t>栃木県</t>
    <rPh sb="2" eb="3">
      <t>ケン</t>
    </rPh>
    <phoneticPr fontId="6"/>
  </si>
  <si>
    <t>群馬県</t>
    <rPh sb="2" eb="3">
      <t>ケン</t>
    </rPh>
    <phoneticPr fontId="6"/>
  </si>
  <si>
    <t>埼玉県</t>
    <rPh sb="2" eb="3">
      <t>ケン</t>
    </rPh>
    <phoneticPr fontId="6"/>
  </si>
  <si>
    <t>千葉県</t>
    <rPh sb="2" eb="3">
      <t>ケン</t>
    </rPh>
    <phoneticPr fontId="6"/>
  </si>
  <si>
    <t>神奈川県</t>
    <rPh sb="3" eb="4">
      <t>ケン</t>
    </rPh>
    <phoneticPr fontId="6"/>
  </si>
  <si>
    <t>新潟県</t>
    <rPh sb="2" eb="3">
      <t>ケン</t>
    </rPh>
    <phoneticPr fontId="6"/>
  </si>
  <si>
    <t>富山県</t>
    <rPh sb="2" eb="3">
      <t>ケン</t>
    </rPh>
    <phoneticPr fontId="6"/>
  </si>
  <si>
    <t>石川県</t>
    <rPh sb="2" eb="3">
      <t>ケン</t>
    </rPh>
    <phoneticPr fontId="6"/>
  </si>
  <si>
    <t>福井県</t>
    <rPh sb="2" eb="3">
      <t>ケン</t>
    </rPh>
    <phoneticPr fontId="6"/>
  </si>
  <si>
    <t>山梨県</t>
    <rPh sb="2" eb="3">
      <t>ケン</t>
    </rPh>
    <phoneticPr fontId="6"/>
  </si>
  <si>
    <t>長野県</t>
    <rPh sb="2" eb="3">
      <t>ケン</t>
    </rPh>
    <phoneticPr fontId="6"/>
  </si>
  <si>
    <t>岐阜県</t>
    <rPh sb="2" eb="3">
      <t>ケン</t>
    </rPh>
    <phoneticPr fontId="6"/>
  </si>
  <si>
    <t>東京都</t>
    <rPh sb="2" eb="3">
      <t>ト</t>
    </rPh>
    <phoneticPr fontId="6"/>
  </si>
  <si>
    <t>静岡県</t>
    <rPh sb="2" eb="3">
      <t>ケン</t>
    </rPh>
    <phoneticPr fontId="6"/>
  </si>
  <si>
    <t>愛知県</t>
    <rPh sb="2" eb="3">
      <t>ケン</t>
    </rPh>
    <phoneticPr fontId="6"/>
  </si>
  <si>
    <t>三重県</t>
    <rPh sb="2" eb="3">
      <t>ケン</t>
    </rPh>
    <phoneticPr fontId="6"/>
  </si>
  <si>
    <t>滋賀県</t>
    <rPh sb="2" eb="3">
      <t>ケン</t>
    </rPh>
    <phoneticPr fontId="6"/>
  </si>
  <si>
    <t>京都府</t>
    <rPh sb="2" eb="3">
      <t>フ</t>
    </rPh>
    <phoneticPr fontId="6"/>
  </si>
  <si>
    <t>大阪府</t>
    <rPh sb="2" eb="3">
      <t>フ</t>
    </rPh>
    <phoneticPr fontId="6"/>
  </si>
  <si>
    <t>兵庫県</t>
    <rPh sb="2" eb="3">
      <t>ケン</t>
    </rPh>
    <phoneticPr fontId="6"/>
  </si>
  <si>
    <t>奈良県</t>
    <rPh sb="2" eb="3">
      <t>ケン</t>
    </rPh>
    <phoneticPr fontId="6"/>
  </si>
  <si>
    <t>和歌山県</t>
    <rPh sb="3" eb="4">
      <t>ケン</t>
    </rPh>
    <phoneticPr fontId="6"/>
  </si>
  <si>
    <t>鳥取県</t>
    <rPh sb="2" eb="3">
      <t>ケン</t>
    </rPh>
    <phoneticPr fontId="6"/>
  </si>
  <si>
    <t>島根県</t>
    <rPh sb="2" eb="3">
      <t>ケン</t>
    </rPh>
    <phoneticPr fontId="6"/>
  </si>
  <si>
    <t>岡山県</t>
    <rPh sb="2" eb="3">
      <t>ケン</t>
    </rPh>
    <phoneticPr fontId="6"/>
  </si>
  <si>
    <t>広島県</t>
    <rPh sb="2" eb="3">
      <t>ケン</t>
    </rPh>
    <phoneticPr fontId="6"/>
  </si>
  <si>
    <t>山口県</t>
    <rPh sb="2" eb="3">
      <t>ケン</t>
    </rPh>
    <phoneticPr fontId="6"/>
  </si>
  <si>
    <t>徳島県</t>
    <rPh sb="0" eb="3">
      <t>トクシマケン</t>
    </rPh>
    <phoneticPr fontId="6"/>
  </si>
  <si>
    <t>香川県</t>
    <rPh sb="2" eb="3">
      <t>ケン</t>
    </rPh>
    <phoneticPr fontId="6"/>
  </si>
  <si>
    <t>愛媛県</t>
    <rPh sb="2" eb="3">
      <t>ケン</t>
    </rPh>
    <phoneticPr fontId="6"/>
  </si>
  <si>
    <t>高知県</t>
    <rPh sb="2" eb="3">
      <t>ケン</t>
    </rPh>
    <phoneticPr fontId="6"/>
  </si>
  <si>
    <t>福岡県</t>
    <rPh sb="2" eb="3">
      <t>ケン</t>
    </rPh>
    <phoneticPr fontId="6"/>
  </si>
  <si>
    <t>佐賀県</t>
    <rPh sb="2" eb="3">
      <t>ケン</t>
    </rPh>
    <phoneticPr fontId="6"/>
  </si>
  <si>
    <t>長崎県</t>
    <rPh sb="2" eb="3">
      <t>ケン</t>
    </rPh>
    <phoneticPr fontId="6"/>
  </si>
  <si>
    <t>熊本県</t>
    <rPh sb="2" eb="3">
      <t>ケン</t>
    </rPh>
    <phoneticPr fontId="6"/>
  </si>
  <si>
    <t>大分県</t>
    <rPh sb="2" eb="3">
      <t>ケン</t>
    </rPh>
    <phoneticPr fontId="6"/>
  </si>
  <si>
    <t>宮崎県</t>
    <rPh sb="2" eb="3">
      <t>ケン</t>
    </rPh>
    <phoneticPr fontId="6"/>
  </si>
  <si>
    <t>鹿児島県</t>
    <rPh sb="3" eb="4">
      <t>ケン</t>
    </rPh>
    <phoneticPr fontId="6"/>
  </si>
  <si>
    <t>沖縄県</t>
    <rPh sb="2" eb="3">
      <t>ケン</t>
    </rPh>
    <phoneticPr fontId="6"/>
  </si>
  <si>
    <t>50～51</t>
    <phoneticPr fontId="4"/>
  </si>
  <si>
    <t xml:space="preserve">第3表　年齢(5歳階級)，男女別人口，年齢別割合，平均年齢及び年齢中位数 </t>
  </si>
  <si>
    <t>　　 　  ― 都道府県</t>
    <phoneticPr fontId="32"/>
  </si>
  <si>
    <t xml:space="preserve">Table 3. Population by Age (Single Years) and Sex, Percentage by Age, Average Age and Median Age </t>
  </si>
  <si>
    <t xml:space="preserve">              - Prefectures</t>
    <phoneticPr fontId="32"/>
  </si>
  <si>
    <t>01 北海道</t>
    <phoneticPr fontId="32"/>
  </si>
  <si>
    <t>02 青森県</t>
    <phoneticPr fontId="32"/>
  </si>
  <si>
    <t>03 岩手県</t>
    <phoneticPr fontId="32"/>
  </si>
  <si>
    <t>04 宮城県</t>
    <phoneticPr fontId="32"/>
  </si>
  <si>
    <t>05 秋田県</t>
    <phoneticPr fontId="32"/>
  </si>
  <si>
    <t>06 山形県</t>
    <phoneticPr fontId="32"/>
  </si>
  <si>
    <t>07 福島県</t>
    <phoneticPr fontId="32"/>
  </si>
  <si>
    <t>08 茨城県</t>
    <phoneticPr fontId="32"/>
  </si>
  <si>
    <t>09 栃木県</t>
    <phoneticPr fontId="32"/>
  </si>
  <si>
    <t>10 群馬県</t>
    <phoneticPr fontId="32"/>
  </si>
  <si>
    <t>11 埼玉県</t>
    <phoneticPr fontId="32"/>
  </si>
  <si>
    <t>12 千葉県</t>
    <phoneticPr fontId="32"/>
  </si>
  <si>
    <t>13 東京都</t>
    <phoneticPr fontId="32"/>
  </si>
  <si>
    <t>14 神奈川県</t>
    <phoneticPr fontId="32"/>
  </si>
  <si>
    <t>15 新潟県</t>
    <phoneticPr fontId="32"/>
  </si>
  <si>
    <t>16 富山県</t>
    <phoneticPr fontId="32"/>
  </si>
  <si>
    <t>17 石川県</t>
    <phoneticPr fontId="32"/>
  </si>
  <si>
    <t>18 福井県</t>
    <phoneticPr fontId="32"/>
  </si>
  <si>
    <t>19 山梨県</t>
    <phoneticPr fontId="32"/>
  </si>
  <si>
    <t>20 長野県</t>
    <phoneticPr fontId="32"/>
  </si>
  <si>
    <t>21 岐阜県</t>
    <phoneticPr fontId="32"/>
  </si>
  <si>
    <t>22 静岡県</t>
    <phoneticPr fontId="32"/>
  </si>
  <si>
    <t>23 愛知県</t>
    <phoneticPr fontId="32"/>
  </si>
  <si>
    <t>24 三重県</t>
    <phoneticPr fontId="32"/>
  </si>
  <si>
    <t>25 滋賀県</t>
    <phoneticPr fontId="32"/>
  </si>
  <si>
    <t>26 京都府</t>
    <phoneticPr fontId="32"/>
  </si>
  <si>
    <t>27 大阪府</t>
    <phoneticPr fontId="32"/>
  </si>
  <si>
    <t>28 兵庫県</t>
    <phoneticPr fontId="32"/>
  </si>
  <si>
    <t>29 奈良県</t>
    <phoneticPr fontId="32"/>
  </si>
  <si>
    <t>30 和歌山県</t>
    <phoneticPr fontId="32"/>
  </si>
  <si>
    <t>31 鳥取県</t>
    <phoneticPr fontId="32"/>
  </si>
  <si>
    <t>32 島根県</t>
    <phoneticPr fontId="32"/>
  </si>
  <si>
    <t>33 岡山県</t>
    <phoneticPr fontId="32"/>
  </si>
  <si>
    <t>34 広島県</t>
    <phoneticPr fontId="32"/>
  </si>
  <si>
    <t>35 山口県</t>
    <phoneticPr fontId="32"/>
  </si>
  <si>
    <t>36 徳島県</t>
    <phoneticPr fontId="32"/>
  </si>
  <si>
    <t>37 香川県</t>
    <phoneticPr fontId="32"/>
  </si>
  <si>
    <t>38 愛媛県</t>
    <phoneticPr fontId="32"/>
  </si>
  <si>
    <t>39 高知県</t>
    <phoneticPr fontId="32"/>
  </si>
  <si>
    <t>40 福岡県</t>
    <phoneticPr fontId="32"/>
  </si>
  <si>
    <t>41 佐賀県</t>
    <phoneticPr fontId="32"/>
  </si>
  <si>
    <t>42 長崎県</t>
    <phoneticPr fontId="32"/>
  </si>
  <si>
    <t>43 熊本県</t>
    <phoneticPr fontId="32"/>
  </si>
  <si>
    <t>44 大分県</t>
    <phoneticPr fontId="32"/>
  </si>
  <si>
    <t>45 宮崎県</t>
    <phoneticPr fontId="32"/>
  </si>
  <si>
    <t>46 鹿児島県</t>
    <phoneticPr fontId="32"/>
  </si>
  <si>
    <t>47 沖縄県</t>
    <phoneticPr fontId="32"/>
  </si>
  <si>
    <t>年 　齢 (各歳)</t>
    <phoneticPr fontId="32"/>
  </si>
  <si>
    <t>Hokkaido</t>
    <phoneticPr fontId="32"/>
  </si>
  <si>
    <t>Aomori-ken</t>
    <phoneticPr fontId="32"/>
  </si>
  <si>
    <t>Iwate-ken</t>
    <phoneticPr fontId="32"/>
  </si>
  <si>
    <t>Miyagi-ken</t>
    <phoneticPr fontId="32"/>
  </si>
  <si>
    <t>Akita-ken</t>
    <phoneticPr fontId="32"/>
  </si>
  <si>
    <t>Yamagata-ken</t>
    <phoneticPr fontId="32"/>
  </si>
  <si>
    <t>Fukushima-ken</t>
    <phoneticPr fontId="32"/>
  </si>
  <si>
    <t>Ibaraki-ken</t>
    <phoneticPr fontId="32"/>
  </si>
  <si>
    <t>Tochigi-ken</t>
    <phoneticPr fontId="32"/>
  </si>
  <si>
    <t>Gumma-ken</t>
    <phoneticPr fontId="32"/>
  </si>
  <si>
    <t>Saitama-ken</t>
    <phoneticPr fontId="32"/>
  </si>
  <si>
    <t>Chiba-ken</t>
    <phoneticPr fontId="32"/>
  </si>
  <si>
    <t>Tokyo-to</t>
    <phoneticPr fontId="32"/>
  </si>
  <si>
    <t>Kanagawa-ken</t>
    <phoneticPr fontId="32"/>
  </si>
  <si>
    <t>Niigata-ken</t>
    <phoneticPr fontId="32"/>
  </si>
  <si>
    <t>Toyama-ken</t>
    <phoneticPr fontId="32"/>
  </si>
  <si>
    <t>Ishikawa-ken</t>
    <phoneticPr fontId="32"/>
  </si>
  <si>
    <t>Fukui-ken</t>
    <phoneticPr fontId="32"/>
  </si>
  <si>
    <t>Yamanashi-ken</t>
    <phoneticPr fontId="32"/>
  </si>
  <si>
    <t>Nagano-ken</t>
    <phoneticPr fontId="32"/>
  </si>
  <si>
    <t>Gifu-ken</t>
    <phoneticPr fontId="32"/>
  </si>
  <si>
    <t>Shizuoka-ken</t>
    <phoneticPr fontId="32"/>
  </si>
  <si>
    <t>Aichi-ken</t>
    <phoneticPr fontId="32"/>
  </si>
  <si>
    <t>Mie-ken</t>
    <phoneticPr fontId="32"/>
  </si>
  <si>
    <t>Shiga-ken</t>
    <phoneticPr fontId="32"/>
  </si>
  <si>
    <t>Kyoto-fu</t>
    <phoneticPr fontId="32"/>
  </si>
  <si>
    <t>Osaka-fu</t>
    <phoneticPr fontId="32"/>
  </si>
  <si>
    <t>Hyogo-ken</t>
    <phoneticPr fontId="32"/>
  </si>
  <si>
    <t>Nara-ken</t>
    <phoneticPr fontId="32"/>
  </si>
  <si>
    <t>Wakayama-ken</t>
    <phoneticPr fontId="32"/>
  </si>
  <si>
    <t>Tottori-ken</t>
    <phoneticPr fontId="32"/>
  </si>
  <si>
    <t>Shimane-ken</t>
    <phoneticPr fontId="32"/>
  </si>
  <si>
    <t>Okayama-ken</t>
    <phoneticPr fontId="32"/>
  </si>
  <si>
    <t>Hiroshima-ken</t>
    <phoneticPr fontId="32"/>
  </si>
  <si>
    <t>Yamaguchi-ken</t>
    <phoneticPr fontId="32"/>
  </si>
  <si>
    <t>Tokushima-ken</t>
    <phoneticPr fontId="32"/>
  </si>
  <si>
    <t>Kagawa-ken</t>
    <phoneticPr fontId="32"/>
  </si>
  <si>
    <t>Ehime-ken</t>
    <phoneticPr fontId="32"/>
  </si>
  <si>
    <t>Kochi-ken</t>
    <phoneticPr fontId="32"/>
  </si>
  <si>
    <t>Fukuoka-ken</t>
    <phoneticPr fontId="32"/>
  </si>
  <si>
    <t>Saga-ken</t>
    <phoneticPr fontId="32"/>
  </si>
  <si>
    <t>Nagasaki-ken</t>
    <phoneticPr fontId="32"/>
  </si>
  <si>
    <t>Kumamoto-ken</t>
    <phoneticPr fontId="32"/>
  </si>
  <si>
    <t>Oita-ken</t>
    <phoneticPr fontId="32"/>
  </si>
  <si>
    <t>Miyazaki-ken</t>
    <phoneticPr fontId="32"/>
  </si>
  <si>
    <t>Kagoshima-ken</t>
    <phoneticPr fontId="32"/>
  </si>
  <si>
    <t>Okinawa-ken</t>
    <phoneticPr fontId="32"/>
  </si>
  <si>
    <t>総   数</t>
    <phoneticPr fontId="32"/>
  </si>
  <si>
    <t>Age (single years)</t>
    <phoneticPr fontId="32"/>
  </si>
  <si>
    <t>Both sexes</t>
    <phoneticPr fontId="32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</si>
  <si>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</si>
  <si>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</si>
  <si>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</si>
  <si>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</si>
  <si>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</si>
  <si>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5"/>
  </si>
  <si>
    <t>Under</t>
    <phoneticPr fontId="32"/>
  </si>
  <si>
    <t>　　　 男</t>
    <rPh sb="4" eb="5">
      <t>オトコ</t>
    </rPh>
    <phoneticPr fontId="32"/>
  </si>
  <si>
    <t>15～64歳</t>
    <phoneticPr fontId="35"/>
  </si>
  <si>
    <t>years old</t>
    <phoneticPr fontId="32"/>
  </si>
  <si>
    <t>65歳以上</t>
    <phoneticPr fontId="35"/>
  </si>
  <si>
    <t>and over</t>
    <phoneticPr fontId="32"/>
  </si>
  <si>
    <t xml:space="preserve"> 75歳以上</t>
    <phoneticPr fontId="35"/>
  </si>
  <si>
    <t xml:space="preserve">   85歳以上</t>
    <phoneticPr fontId="35"/>
  </si>
  <si>
    <t>年齢別割合(％)</t>
    <phoneticPr fontId="32"/>
  </si>
  <si>
    <t>Percentage by age 1)</t>
    <phoneticPr fontId="32"/>
  </si>
  <si>
    <t xml:space="preserve"> 15歳未満</t>
    <phoneticPr fontId="32"/>
  </si>
  <si>
    <t>Under</t>
    <phoneticPr fontId="32"/>
  </si>
  <si>
    <t xml:space="preserve"> 15～64歳</t>
    <phoneticPr fontId="32"/>
  </si>
  <si>
    <t>years old</t>
    <phoneticPr fontId="32"/>
  </si>
  <si>
    <t xml:space="preserve"> 65歳以上</t>
    <phoneticPr fontId="32"/>
  </si>
  <si>
    <t>and over</t>
    <phoneticPr fontId="32"/>
  </si>
  <si>
    <t xml:space="preserve"> 　75歳以上</t>
    <phoneticPr fontId="32"/>
  </si>
  <si>
    <t xml:space="preserve">    85歳以上</t>
    <phoneticPr fontId="32"/>
  </si>
  <si>
    <t>平均年齢</t>
    <phoneticPr fontId="35"/>
  </si>
  <si>
    <t xml:space="preserve"> Average age</t>
    <phoneticPr fontId="32"/>
  </si>
  <si>
    <t>年齢中位数</t>
    <phoneticPr fontId="35"/>
  </si>
  <si>
    <t xml:space="preserve"> Median age</t>
    <phoneticPr fontId="32"/>
  </si>
  <si>
    <t>都道府県別・車種別自動車保有台数（軽自動車含む）</t>
    <phoneticPr fontId="4"/>
  </si>
  <si>
    <t>平成23年3月末現在</t>
    <phoneticPr fontId="4"/>
  </si>
  <si>
    <t>局</t>
    <rPh sb="0" eb="1">
      <t>キョク</t>
    </rPh>
    <phoneticPr fontId="4"/>
  </si>
  <si>
    <t>車種</t>
    <rPh sb="0" eb="2">
      <t>シャシュ</t>
    </rPh>
    <phoneticPr fontId="4"/>
  </si>
  <si>
    <t>合計</t>
    <rPh sb="0" eb="2">
      <t>ゴウケイ</t>
    </rPh>
    <phoneticPr fontId="4"/>
  </si>
  <si>
    <t>運輸支局</t>
    <rPh sb="0" eb="2">
      <t>ウンユ</t>
    </rPh>
    <rPh sb="2" eb="4">
      <t>シキョク</t>
    </rPh>
    <phoneticPr fontId="4"/>
  </si>
  <si>
    <t>計</t>
    <rPh sb="0" eb="1">
      <t>ケイ</t>
    </rPh>
    <phoneticPr fontId="4"/>
  </si>
  <si>
    <t>東　　北</t>
    <rPh sb="0" eb="1">
      <t>ヒガシ</t>
    </rPh>
    <rPh sb="3" eb="4">
      <t>キタ</t>
    </rPh>
    <phoneticPr fontId="4"/>
  </si>
  <si>
    <t>青森</t>
  </si>
  <si>
    <t>岩手</t>
    <rPh sb="0" eb="2">
      <t>イワテ</t>
    </rPh>
    <phoneticPr fontId="4"/>
  </si>
  <si>
    <t>宮城</t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</si>
  <si>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</si>
  <si>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</si>
  <si>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</si>
  <si>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関　　　東</t>
    <rPh sb="0" eb="1">
      <t>セキ</t>
    </rPh>
    <rPh sb="4" eb="5">
      <t>ヒガシ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</si>
  <si>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</si>
  <si>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</si>
  <si>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</si>
  <si>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</si>
  <si>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</si>
  <si>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</si>
  <si>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</si>
  <si>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山梨</t>
    <rPh sb="0" eb="2">
      <t>ヤマナシ</t>
    </rPh>
    <phoneticPr fontId="4"/>
  </si>
  <si>
    <t>北陸信越</t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</si>
  <si>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</si>
  <si>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</si>
  <si>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</si>
  <si>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長野</t>
    <rPh sb="0" eb="2">
      <t>ナガノ</t>
    </rPh>
    <phoneticPr fontId="4"/>
  </si>
  <si>
    <t>中　　部</t>
    <rPh sb="0" eb="1">
      <t>ナカ</t>
    </rPh>
    <rPh sb="3" eb="4">
      <t>ブ</t>
    </rPh>
    <phoneticPr fontId="4"/>
  </si>
  <si>
    <t>福井</t>
    <rPh sb="0" eb="2">
      <t>フクイ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</si>
  <si>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</si>
  <si>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</si>
  <si>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</si>
  <si>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</si>
  <si>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近　　　畿</t>
    <rPh sb="0" eb="1">
      <t>コン</t>
    </rPh>
    <rPh sb="4" eb="5">
      <t>キ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</si>
  <si>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</si>
  <si>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</si>
  <si>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</si>
  <si>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</si>
  <si>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</si>
  <si>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兵庫</t>
    <rPh sb="0" eb="2">
      <t>ヒョウゴ</t>
    </rPh>
    <phoneticPr fontId="4"/>
  </si>
  <si>
    <t>中　　国</t>
    <rPh sb="0" eb="1">
      <t>ナカ</t>
    </rPh>
    <rPh sb="3" eb="4">
      <t>コク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</si>
  <si>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</si>
  <si>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</si>
  <si>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</si>
  <si>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</si>
  <si>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</si>
  <si>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四　　国</t>
    <rPh sb="0" eb="1">
      <t>ヨン</t>
    </rPh>
    <rPh sb="3" eb="4">
      <t>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</si>
  <si>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</si>
  <si>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</si>
  <si>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</si>
  <si>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</si>
  <si>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　　　州</t>
    <rPh sb="0" eb="1">
      <t>キュウ</t>
    </rPh>
    <rPh sb="4" eb="5">
      <t>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</si>
  <si>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</si>
  <si>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</si>
  <si>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</si>
  <si>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</si>
  <si>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</si>
  <si>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</si>
  <si>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</si>
  <si>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　　　縄</t>
    <rPh sb="0" eb="1">
      <t>オキ</t>
    </rPh>
    <rPh sb="4" eb="5">
      <t>ナワ</t>
    </rPh>
    <phoneticPr fontId="4"/>
  </si>
  <si>
    <t>合　　　計</t>
    <rPh sb="0" eb="1">
      <t>ゴウ</t>
    </rPh>
    <rPh sb="4" eb="5">
      <t>ケイ</t>
    </rPh>
    <phoneticPr fontId="4"/>
  </si>
  <si>
    <t>-</t>
    <phoneticPr fontId="4"/>
  </si>
  <si>
    <t>-</t>
    <phoneticPr fontId="4"/>
  </si>
  <si>
    <t>構成比</t>
    <rPh sb="0" eb="3">
      <t>コウセイヒ</t>
    </rPh>
    <phoneticPr fontId="6"/>
  </si>
  <si>
    <t>農林業センサス（農林水産省）</t>
    <rPh sb="0" eb="3">
      <t>ノウリンギョウ</t>
    </rPh>
    <rPh sb="8" eb="13">
      <t>ノウリンスイサンショウ</t>
    </rPh>
    <phoneticPr fontId="6"/>
  </si>
  <si>
    <t>作物統計調査（農林水産省）</t>
    <rPh sb="0" eb="2">
      <t>サクモツ</t>
    </rPh>
    <rPh sb="2" eb="4">
      <t>トウケイ</t>
    </rPh>
    <rPh sb="4" eb="6">
      <t>チョウサ</t>
    </rPh>
    <rPh sb="7" eb="9">
      <t>ノウリン</t>
    </rPh>
    <rPh sb="9" eb="12">
      <t>スイサンショウ</t>
    </rPh>
    <phoneticPr fontId="6"/>
  </si>
  <si>
    <t>15歳未満</t>
    <rPh sb="2" eb="3">
      <t>サイ</t>
    </rPh>
    <rPh sb="3" eb="5">
      <t>ミマン</t>
    </rPh>
    <phoneticPr fontId="6"/>
  </si>
  <si>
    <t>-</t>
  </si>
  <si>
    <t>都道府県別市町村数の変遷　 (総務省）</t>
    <rPh sb="15" eb="18">
      <t>ソウムショウ</t>
    </rPh>
    <phoneticPr fontId="6"/>
  </si>
  <si>
    <t>耕地面積（令３.7.15）</t>
    <rPh sb="0" eb="2">
      <t>コウチ</t>
    </rPh>
    <rPh sb="2" eb="4">
      <t>メンセキ</t>
    </rPh>
    <rPh sb="5" eb="6">
      <t>レイ</t>
    </rPh>
    <phoneticPr fontId="6"/>
  </si>
  <si>
    <t>経営体</t>
    <rPh sb="0" eb="3">
      <t>ケイエイタイ</t>
    </rPh>
    <phoneticPr fontId="6"/>
  </si>
  <si>
    <t>経営耕地のある経営体数(令2.2.1)</t>
    <rPh sb="0" eb="4">
      <t>ケイエイコウチ</t>
    </rPh>
    <rPh sb="7" eb="9">
      <t>ケイエイ</t>
    </rPh>
    <rPh sb="9" eb="10">
      <t>タイ</t>
    </rPh>
    <rPh sb="10" eb="11">
      <t>スウ</t>
    </rPh>
    <rPh sb="12" eb="13">
      <t>レイ</t>
    </rPh>
    <phoneticPr fontId="4"/>
  </si>
  <si>
    <t>農業従事者数
(個人経営体)
（令2.2.1）</t>
    <rPh sb="0" eb="2">
      <t>ノウギョウ</t>
    </rPh>
    <rPh sb="2" eb="5">
      <t>ジュウジシャ</t>
    </rPh>
    <rPh sb="5" eb="6">
      <t>スウ</t>
    </rPh>
    <rPh sb="8" eb="10">
      <t>コジン</t>
    </rPh>
    <rPh sb="10" eb="13">
      <t>ケイエイタイ</t>
    </rPh>
    <rPh sb="16" eb="17">
      <t>レイ</t>
    </rPh>
    <phoneticPr fontId="6"/>
  </si>
  <si>
    <t>販売農家
(令2.2.1)</t>
    <rPh sb="0" eb="2">
      <t>ハンバイ</t>
    </rPh>
    <rPh sb="2" eb="4">
      <t>ノウカ</t>
    </rPh>
    <rPh sb="6" eb="7">
      <t>レイ</t>
    </rPh>
    <phoneticPr fontId="4"/>
  </si>
  <si>
    <t>総農家数
(令2.2.1)</t>
    <rPh sb="0" eb="1">
      <t>ソウ</t>
    </rPh>
    <rPh sb="1" eb="3">
      <t>ノウカ</t>
    </rPh>
    <rPh sb="3" eb="4">
      <t>スウ</t>
    </rPh>
    <rPh sb="6" eb="7">
      <t>レイ</t>
    </rPh>
    <phoneticPr fontId="4"/>
  </si>
  <si>
    <t>戸</t>
    <rPh sb="0" eb="1">
      <t>コ</t>
    </rPh>
    <phoneticPr fontId="4"/>
  </si>
  <si>
    <t>国勢調査（総務省）</t>
    <rPh sb="0" eb="2">
      <t>コクゼイ</t>
    </rPh>
    <rPh sb="2" eb="4">
      <t>チョウサ</t>
    </rPh>
    <rPh sb="5" eb="8">
      <t>ソウムショウ</t>
    </rPh>
    <phoneticPr fontId="4"/>
  </si>
  <si>
    <t>世帯数
（令２.10.1）</t>
    <rPh sb="0" eb="3">
      <t>セタイスウ</t>
    </rPh>
    <rPh sb="5" eb="6">
      <t>レイ</t>
    </rPh>
    <phoneticPr fontId="6"/>
  </si>
  <si>
    <t>人　口（令２.10.1）</t>
    <rPh sb="0" eb="1">
      <t>ヒト</t>
    </rPh>
    <rPh sb="2" eb="3">
      <t>クチ</t>
    </rPh>
    <rPh sb="4" eb="5">
      <t>レイ</t>
    </rPh>
    <phoneticPr fontId="6"/>
  </si>
  <si>
    <t>年齢３区分別人口（令和２.10.1）①</t>
    <rPh sb="0" eb="2">
      <t>ネンレイ</t>
    </rPh>
    <rPh sb="3" eb="5">
      <t>クブン</t>
    </rPh>
    <rPh sb="5" eb="6">
      <t>ベツ</t>
    </rPh>
    <rPh sb="6" eb="8">
      <t>ジンコウ</t>
    </rPh>
    <rPh sb="9" eb="11">
      <t>レイワ</t>
    </rPh>
    <phoneticPr fontId="6"/>
  </si>
  <si>
    <t>市　町　村　数②
（令２.10.１）</t>
    <rPh sb="0" eb="1">
      <t>シ</t>
    </rPh>
    <rPh sb="2" eb="3">
      <t>チョウ</t>
    </rPh>
    <rPh sb="10" eb="11">
      <t>レイ</t>
    </rPh>
    <phoneticPr fontId="6"/>
  </si>
  <si>
    <t>①不詳補完値による。</t>
    <rPh sb="1" eb="3">
      <t>フショウ</t>
    </rPh>
    <rPh sb="3" eb="5">
      <t>ホカン</t>
    </rPh>
    <rPh sb="5" eb="6">
      <t>チ</t>
    </rPh>
    <phoneticPr fontId="4"/>
  </si>
  <si>
    <t>②　市数には政令指定都市を含み、特別区を含まない。北方領土の６村を含むと1,724となる。</t>
    <rPh sb="2" eb="3">
      <t>シ</t>
    </rPh>
    <rPh sb="3" eb="4">
      <t>スウ</t>
    </rPh>
    <rPh sb="6" eb="8">
      <t>セイレイ</t>
    </rPh>
    <rPh sb="8" eb="10">
      <t>シテイ</t>
    </rPh>
    <rPh sb="10" eb="12">
      <t>トシ</t>
    </rPh>
    <rPh sb="13" eb="14">
      <t>フク</t>
    </rPh>
    <rPh sb="16" eb="19">
      <t>トクベツク</t>
    </rPh>
    <rPh sb="20" eb="21">
      <t>フク</t>
    </rPh>
    <rPh sb="25" eb="27">
      <t>ホッポウ</t>
    </rPh>
    <rPh sb="27" eb="29">
      <t>リョウド</t>
    </rPh>
    <rPh sb="31" eb="32">
      <t>ソン</t>
    </rPh>
    <rPh sb="33" eb="34">
      <t>フク</t>
    </rPh>
    <phoneticPr fontId="4"/>
  </si>
  <si>
    <t>都　道　府　県　の 現 況 （ つ づ き ）</t>
  </si>
  <si>
    <t>都道府県</t>
    <rPh sb="0" eb="1">
      <t>ト</t>
    </rPh>
    <rPh sb="1" eb="2">
      <t>ドウ</t>
    </rPh>
    <rPh sb="2" eb="4">
      <t>フケン</t>
    </rPh>
    <phoneticPr fontId="4"/>
  </si>
  <si>
    <t>農　　林　　業（つづき）</t>
    <rPh sb="0" eb="1">
      <t>ノウ</t>
    </rPh>
    <rPh sb="3" eb="4">
      <t>ハヤシ</t>
    </rPh>
    <rPh sb="6" eb="7">
      <t>ギョウ</t>
    </rPh>
    <phoneticPr fontId="4"/>
  </si>
  <si>
    <t>事業所（平28.6.1）　　　　　</t>
    <rPh sb="0" eb="1">
      <t>コト</t>
    </rPh>
    <rPh sb="1" eb="2">
      <t>ギョウ</t>
    </rPh>
    <rPh sb="2" eb="3">
      <t>ショ</t>
    </rPh>
    <rPh sb="4" eb="5">
      <t>ヘイ</t>
    </rPh>
    <phoneticPr fontId="4"/>
  </si>
  <si>
    <t>工　　　　業⑥
　（令2.6.1)</t>
    <rPh sb="0" eb="1">
      <t>コウ</t>
    </rPh>
    <rPh sb="5" eb="6">
      <t>ギョウ</t>
    </rPh>
    <rPh sb="10" eb="11">
      <t>レイ</t>
    </rPh>
    <phoneticPr fontId="4"/>
  </si>
  <si>
    <t>商　　業（平28.6.1)⑧</t>
    <rPh sb="0" eb="1">
      <t>ショウ</t>
    </rPh>
    <rPh sb="3" eb="4">
      <t>ギョウ</t>
    </rPh>
    <phoneticPr fontId="4"/>
  </si>
  <si>
    <t>水　稲</t>
    <rPh sb="0" eb="1">
      <t>ミズ</t>
    </rPh>
    <rPh sb="2" eb="3">
      <t>イネ</t>
    </rPh>
    <phoneticPr fontId="4"/>
  </si>
  <si>
    <t>林野</t>
    <rPh sb="0" eb="2">
      <t>リンヤ</t>
    </rPh>
    <phoneticPr fontId="4"/>
  </si>
  <si>
    <t>素材</t>
    <rPh sb="0" eb="2">
      <t>ソザイ</t>
    </rPh>
    <phoneticPr fontId="4"/>
  </si>
  <si>
    <t>農業</t>
    <rPh sb="0" eb="2">
      <t>ノウギョウ</t>
    </rPh>
    <phoneticPr fontId="4"/>
  </si>
  <si>
    <t>生産農</t>
    <rPh sb="0" eb="2">
      <t>セイサン</t>
    </rPh>
    <rPh sb="2" eb="3">
      <t>ノウ</t>
    </rPh>
    <phoneticPr fontId="4"/>
  </si>
  <si>
    <t>卸　売　業</t>
    <rPh sb="0" eb="1">
      <t>オロシ</t>
    </rPh>
    <rPh sb="2" eb="3">
      <t>バイ</t>
    </rPh>
    <rPh sb="4" eb="5">
      <t>ギョウ</t>
    </rPh>
    <phoneticPr fontId="4"/>
  </si>
  <si>
    <t>小　売　業</t>
    <rPh sb="0" eb="1">
      <t>ショウ</t>
    </rPh>
    <rPh sb="2" eb="3">
      <t>バイ</t>
    </rPh>
    <rPh sb="4" eb="5">
      <t>ギョウ</t>
    </rPh>
    <phoneticPr fontId="4"/>
  </si>
  <si>
    <t>収穫量</t>
    <rPh sb="0" eb="3">
      <t>シュウカクリョウ</t>
    </rPh>
    <phoneticPr fontId="4"/>
  </si>
  <si>
    <t>面積</t>
    <rPh sb="0" eb="2">
      <t>メンセキ</t>
    </rPh>
    <phoneticPr fontId="4"/>
  </si>
  <si>
    <t>生産量</t>
    <rPh sb="0" eb="2">
      <t>セイサン</t>
    </rPh>
    <rPh sb="2" eb="3">
      <t>リョウ</t>
    </rPh>
    <phoneticPr fontId="4"/>
  </si>
  <si>
    <t>産出額③</t>
    <rPh sb="0" eb="3">
      <t>サンシュツガク</t>
    </rPh>
    <phoneticPr fontId="4"/>
  </si>
  <si>
    <t>業所得④</t>
    <rPh sb="0" eb="1">
      <t>ギョウ</t>
    </rPh>
    <rPh sb="1" eb="3">
      <t>ショトク</t>
    </rPh>
    <phoneticPr fontId="4"/>
  </si>
  <si>
    <t>（令３年）</t>
    <rPh sb="1" eb="2">
      <t>レイ</t>
    </rPh>
    <rPh sb="3" eb="4">
      <t>ネン</t>
    </rPh>
    <phoneticPr fontId="4"/>
  </si>
  <si>
    <t>（令２.２.１）</t>
    <rPh sb="1" eb="2">
      <t>レイ</t>
    </rPh>
    <phoneticPr fontId="4"/>
  </si>
  <si>
    <t>（令元年）</t>
    <rPh sb="1" eb="2">
      <t>レイ</t>
    </rPh>
    <rPh sb="2" eb="3">
      <t>ガン</t>
    </rPh>
    <rPh sb="3" eb="4">
      <t>ネン</t>
    </rPh>
    <phoneticPr fontId="4"/>
  </si>
  <si>
    <t>事業所数⑤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</si>
  <si>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</si>
  <si>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</si>
  <si>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</si>
  <si>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従業者数⑦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</si>
  <si>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</si>
  <si>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従業者数⑧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</si>
  <si>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</si>
  <si>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t</t>
    <phoneticPr fontId="4"/>
  </si>
  <si>
    <t>ha</t>
    <phoneticPr fontId="4"/>
  </si>
  <si>
    <r>
      <t>千m</t>
    </r>
    <r>
      <rPr>
        <vertAlign val="superscript"/>
        <sz val="10"/>
        <color theme="1"/>
        <rFont val="ＭＳ Ｐ明朝"/>
        <family val="1"/>
        <charset val="128"/>
      </rPr>
      <t>3</t>
    </r>
    <rPh sb="0" eb="1">
      <t>セン</t>
    </rPh>
    <phoneticPr fontId="4"/>
  </si>
  <si>
    <t>億円</t>
    <rPh sb="0" eb="2">
      <t>オクエン</t>
    </rPh>
    <phoneticPr fontId="4"/>
  </si>
  <si>
    <t>事業所</t>
    <rPh sb="0" eb="3">
      <t>ジギョウショ</t>
    </rPh>
    <phoneticPr fontId="4"/>
  </si>
  <si>
    <t>人</t>
    <rPh sb="0" eb="1">
      <t>ニン</t>
    </rPh>
    <phoneticPr fontId="4"/>
  </si>
  <si>
    <t>百万円</t>
    <rPh sb="0" eb="1">
      <t>ヒャク</t>
    </rPh>
    <rPh sb="1" eb="3">
      <t>マンエン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</si>
  <si>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</si>
  <si>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</si>
  <si>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</si>
  <si>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</si>
  <si>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</si>
  <si>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</si>
  <si>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</si>
  <si>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</si>
  <si>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</si>
  <si>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</si>
  <si>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</si>
  <si>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</si>
  <si>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</si>
  <si>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</si>
  <si>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</si>
  <si>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</si>
  <si>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</si>
  <si>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</si>
  <si>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</si>
  <si>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</si>
  <si>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</si>
  <si>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</si>
  <si>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</si>
  <si>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</si>
  <si>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</si>
  <si>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</si>
  <si>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</si>
  <si>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</si>
  <si>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</si>
  <si>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</si>
  <si>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</si>
  <si>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</si>
  <si>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</si>
  <si>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</si>
  <si>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</si>
  <si>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</si>
  <si>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</si>
  <si>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</si>
  <si>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</si>
  <si>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</si>
  <si>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</si>
  <si>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</si>
  <si>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</si>
  <si>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</si>
  <si>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</si>
  <si>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</si>
  <si>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資料</t>
    <rPh sb="0" eb="2">
      <t>シリョウ</t>
    </rPh>
    <phoneticPr fontId="4"/>
  </si>
  <si>
    <t>作物統計調査　　（速報）</t>
    <rPh sb="9" eb="11">
      <t>ソクホウ</t>
    </rPh>
    <phoneticPr fontId="4"/>
  </si>
  <si>
    <t>農林業センサス</t>
    <rPh sb="0" eb="2">
      <t>ノウリン</t>
    </rPh>
    <rPh sb="2" eb="3">
      <t>ギョウ</t>
    </rPh>
    <phoneticPr fontId="4"/>
  </si>
  <si>
    <t>木材統計調査</t>
    <rPh sb="0" eb="2">
      <t>モクザイ</t>
    </rPh>
    <rPh sb="2" eb="4">
      <t>トウケイ</t>
    </rPh>
    <rPh sb="4" eb="6">
      <t>チョウサ</t>
    </rPh>
    <phoneticPr fontId="4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</si>
  <si>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</si>
  <si>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</si>
  <si>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工業統計調査
（経済産業省）</t>
    <rPh sb="0" eb="2">
      <t>コウギョウ</t>
    </rPh>
    <rPh sb="2" eb="4">
      <t>トウケイ</t>
    </rPh>
    <rPh sb="4" eb="6">
      <t>チョウサ</t>
    </rPh>
    <rPh sb="8" eb="13">
      <t>ケイザイサンギョウショウ</t>
    </rPh>
    <phoneticPr fontId="4"/>
  </si>
  <si>
    <t>経済センサス-活動調査
(総務省・経済産業省)</t>
    <rPh sb="0" eb="2">
      <t>ケイザイ</t>
    </rPh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4"/>
  </si>
  <si>
    <t>（農林水産省）</t>
    <rPh sb="1" eb="6">
      <t>ノウリンスイサンショウ</t>
    </rPh>
    <phoneticPr fontId="4"/>
  </si>
  <si>
    <t>(農林水産省）</t>
    <rPh sb="1" eb="3">
      <t>ノウリン</t>
    </rPh>
    <rPh sb="3" eb="6">
      <t>スイサンショウ</t>
    </rPh>
    <phoneticPr fontId="4"/>
  </si>
  <si>
    <t>(農林水産省）</t>
    <rPh sb="1" eb="6">
      <t>ノウリンスイサンショウ</t>
    </rPh>
    <phoneticPr fontId="4"/>
  </si>
  <si>
    <t>（総務省・経済産業省）</t>
    <rPh sb="1" eb="4">
      <t>ソウムショウ</t>
    </rPh>
    <rPh sb="5" eb="7">
      <t>ケイザイ</t>
    </rPh>
    <rPh sb="7" eb="10">
      <t>サンギョウショウ</t>
    </rPh>
    <phoneticPr fontId="4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</si>
  <si>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4"/>
  </si>
  <si>
    <t>⑦　管理，補助的経済活動のみを行う事業所、産業細分類が格付不能の事業所、卸売の商品販売額（仲立手数料を除く）、小売の商品販売額及び仲立手数料の</t>
    <phoneticPr fontId="4"/>
  </si>
  <si>
    <t xml:space="preserve">     各都道府県の総計と一致しない。)</t>
    <phoneticPr fontId="4"/>
  </si>
  <si>
    <t>　　いずれの金額も無い事業所は含まない。</t>
    <phoneticPr fontId="4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</si>
  <si>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4"/>
  </si>
  <si>
    <t>⑧　従業者とは、「個人業主」、「無給家族従業者」、「有給役員」及び「常用雇用者」の計であり、臨時雇用者は含めていない。</t>
    <phoneticPr fontId="4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</si>
  <si>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4"/>
  </si>
  <si>
    <t>⑥ 従業者数４人以上の事業所。事業所数、従業者数は令和２年6月1日現在。製造品出荷額等は令和元年</t>
    <rPh sb="2" eb="6">
      <t>ジュウギョウシャスウ</t>
    </rPh>
    <rPh sb="7" eb="10">
      <t>ニンイジョウ</t>
    </rPh>
    <rPh sb="11" eb="14">
      <t>ジギョウショ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3" eb="24">
      <t>スウ</t>
    </rPh>
    <rPh sb="25" eb="27">
      <t>レイワ</t>
    </rPh>
    <rPh sb="28" eb="29">
      <t>ネン</t>
    </rPh>
    <rPh sb="29" eb="30">
      <t>ヘイネン</t>
    </rPh>
    <rPh sb="30" eb="31">
      <t>ガツ</t>
    </rPh>
    <rPh sb="32" eb="33">
      <t>ニチ</t>
    </rPh>
    <rPh sb="33" eb="35">
      <t>ゲンザイ</t>
    </rPh>
    <rPh sb="36" eb="38">
      <t>セイゾウ</t>
    </rPh>
    <rPh sb="38" eb="39">
      <t>ヒン</t>
    </rPh>
    <rPh sb="39" eb="42">
      <t>シュッカガク</t>
    </rPh>
    <rPh sb="42" eb="43">
      <t>トウ</t>
    </rPh>
    <rPh sb="44" eb="46">
      <t>レイワ</t>
    </rPh>
    <rPh sb="46" eb="48">
      <t>ガンネン</t>
    </rPh>
    <phoneticPr fontId="4"/>
  </si>
  <si>
    <t>52～53</t>
    <phoneticPr fontId="4"/>
  </si>
  <si>
    <t>　　1年間の数値。</t>
    <rPh sb="3" eb="5">
      <t>ネンカン</t>
    </rPh>
    <rPh sb="6" eb="8">
      <t>スウチ</t>
    </rPh>
    <phoneticPr fontId="4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</si>
  <si>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4"/>
  </si>
  <si>
    <t>道　　路
実延長
（令２.３.31）</t>
    <rPh sb="0" eb="1">
      <t>ミチ</t>
    </rPh>
    <rPh sb="3" eb="4">
      <t>ロ</t>
    </rPh>
    <rPh sb="5" eb="6">
      <t>ジツ</t>
    </rPh>
    <rPh sb="6" eb="8">
      <t>エンチョウ</t>
    </rPh>
    <rPh sb="10" eb="11">
      <t>レイ</t>
    </rPh>
    <phoneticPr fontId="4"/>
  </si>
  <si>
    <t>自　動　車
保有台数⑨
（令3.3.31）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レイ</t>
    </rPh>
    <phoneticPr fontId="4"/>
  </si>
  <si>
    <t>医療施設（人口10万人当たり）（令元.10.1）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レイ</t>
    </rPh>
    <rPh sb="17" eb="18">
      <t>ガン</t>
    </rPh>
    <phoneticPr fontId="4"/>
  </si>
  <si>
    <t>学　　　校（令３.5.1)</t>
    <rPh sb="0" eb="1">
      <t>ガク</t>
    </rPh>
    <rPh sb="4" eb="5">
      <t>コウ</t>
    </rPh>
    <rPh sb="6" eb="7">
      <t>レイ</t>
    </rPh>
    <phoneticPr fontId="4"/>
  </si>
  <si>
    <t>国・県民所得
（平成30年度)</t>
    <rPh sb="0" eb="1">
      <t>クニ</t>
    </rPh>
    <rPh sb="2" eb="4">
      <t>ケンミン</t>
    </rPh>
    <rPh sb="4" eb="6">
      <t>ショトク</t>
    </rPh>
    <phoneticPr fontId="4"/>
  </si>
  <si>
    <t>普通会計決算額
（令和元年度）</t>
    <rPh sb="0" eb="2">
      <t>フツウ</t>
    </rPh>
    <rPh sb="2" eb="4">
      <t>カイケイ</t>
    </rPh>
    <rPh sb="4" eb="7">
      <t>ケッサンガク</t>
    </rPh>
    <rPh sb="9" eb="11">
      <t>レイワ</t>
    </rPh>
    <rPh sb="11" eb="12">
      <t>ガン</t>
    </rPh>
    <rPh sb="12" eb="14">
      <t>ネンド</t>
    </rPh>
    <phoneticPr fontId="4"/>
  </si>
  <si>
    <t>都道府県</t>
    <rPh sb="0" eb="4">
      <t>トドウフケン</t>
    </rPh>
    <phoneticPr fontId="4"/>
  </si>
  <si>
    <t>施　設　数</t>
    <rPh sb="0" eb="1">
      <t>シ</t>
    </rPh>
    <rPh sb="2" eb="3">
      <t>セツ</t>
    </rPh>
    <rPh sb="4" eb="5">
      <t>カズ</t>
    </rPh>
    <phoneticPr fontId="4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</si>
  <si>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4"/>
  </si>
  <si>
    <t>小　学　校</t>
    <rPh sb="0" eb="1">
      <t>ショウ</t>
    </rPh>
    <rPh sb="2" eb="3">
      <t>ガク</t>
    </rPh>
    <rPh sb="4" eb="5">
      <t>コウ</t>
    </rPh>
    <phoneticPr fontId="4"/>
  </si>
  <si>
    <t>中　学　校　</t>
    <rPh sb="0" eb="1">
      <t>ナカ</t>
    </rPh>
    <rPh sb="2" eb="3">
      <t>ガク</t>
    </rPh>
    <rPh sb="4" eb="5">
      <t>コウ</t>
    </rPh>
    <phoneticPr fontId="4"/>
  </si>
  <si>
    <t>義務教育学校</t>
    <rPh sb="0" eb="6">
      <t>ギムキョウイクガッコウ</t>
    </rPh>
    <phoneticPr fontId="4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</si>
  <si>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4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</si>
  <si>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4"/>
  </si>
  <si>
    <t>病　院</t>
    <rPh sb="0" eb="1">
      <t>ヤマイ</t>
    </rPh>
    <rPh sb="2" eb="3">
      <t>イン</t>
    </rPh>
    <phoneticPr fontId="4"/>
  </si>
  <si>
    <t>一　般</t>
    <rPh sb="0" eb="1">
      <t>イチ</t>
    </rPh>
    <rPh sb="2" eb="3">
      <t>パン</t>
    </rPh>
    <phoneticPr fontId="4"/>
  </si>
  <si>
    <t>歯　科</t>
    <rPh sb="0" eb="1">
      <t>ハ</t>
    </rPh>
    <rPh sb="2" eb="3">
      <t>カ</t>
    </rPh>
    <phoneticPr fontId="4"/>
  </si>
  <si>
    <t>所得額</t>
    <rPh sb="0" eb="3">
      <t>ショトクガク</t>
    </rPh>
    <phoneticPr fontId="4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</si>
  <si>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4"/>
  </si>
  <si>
    <t>診療所</t>
    <rPh sb="0" eb="3">
      <t>シンリョウショ</t>
    </rPh>
    <phoneticPr fontId="4"/>
  </si>
  <si>
    <t>学校数</t>
    <rPh sb="0" eb="3">
      <t>ガッコウスウ</t>
    </rPh>
    <phoneticPr fontId="4"/>
  </si>
  <si>
    <t>児童数</t>
    <rPh sb="0" eb="3">
      <t>ジドウスウ</t>
    </rPh>
    <phoneticPr fontId="4"/>
  </si>
  <si>
    <t>生徒数</t>
    <rPh sb="0" eb="3">
      <t>セイトスウ</t>
    </rPh>
    <phoneticPr fontId="4"/>
  </si>
  <si>
    <t>児童生徒数</t>
    <rPh sb="0" eb="2">
      <t>ジドウ</t>
    </rPh>
    <rPh sb="2" eb="5">
      <t>セイトスウ</t>
    </rPh>
    <phoneticPr fontId="4"/>
  </si>
  <si>
    <t>学生数</t>
    <rPh sb="0" eb="3">
      <t>ガクセイスウ</t>
    </rPh>
    <phoneticPr fontId="4"/>
  </si>
  <si>
    <t>歳　入</t>
    <rPh sb="0" eb="1">
      <t>トシ</t>
    </rPh>
    <rPh sb="2" eb="3">
      <t>イリ</t>
    </rPh>
    <phoneticPr fontId="4"/>
  </si>
  <si>
    <t>歳　出</t>
    <rPh sb="0" eb="1">
      <t>トシ</t>
    </rPh>
    <rPh sb="2" eb="3">
      <t>デ</t>
    </rPh>
    <phoneticPr fontId="4"/>
  </si>
  <si>
    <t>km</t>
  </si>
  <si>
    <t>台</t>
    <rPh sb="0" eb="1">
      <t>ダイ</t>
    </rPh>
    <phoneticPr fontId="4"/>
  </si>
  <si>
    <t>施設</t>
    <rPh sb="0" eb="2">
      <t>シセツ</t>
    </rPh>
    <phoneticPr fontId="4"/>
  </si>
  <si>
    <t>床</t>
    <rPh sb="0" eb="1">
      <t>ユカ</t>
    </rPh>
    <phoneticPr fontId="4"/>
  </si>
  <si>
    <t>校</t>
    <rPh sb="0" eb="1">
      <t>コウ</t>
    </rPh>
    <phoneticPr fontId="4"/>
  </si>
  <si>
    <t>千円</t>
    <rPh sb="0" eb="2">
      <t>センエン</t>
    </rPh>
    <phoneticPr fontId="4"/>
  </si>
  <si>
    <t>青森県</t>
    <rPh sb="2" eb="3">
      <t>ケン</t>
    </rPh>
    <phoneticPr fontId="4"/>
  </si>
  <si>
    <t>岩手県</t>
    <rPh sb="2" eb="3">
      <t>ケン</t>
    </rPh>
    <phoneticPr fontId="4"/>
  </si>
  <si>
    <t>宮城県</t>
    <rPh sb="2" eb="3">
      <t>ケン</t>
    </rPh>
    <phoneticPr fontId="4"/>
  </si>
  <si>
    <t>秋田県</t>
    <rPh sb="2" eb="3">
      <t>ケン</t>
    </rPh>
    <phoneticPr fontId="4"/>
  </si>
  <si>
    <t>山形県</t>
    <rPh sb="2" eb="3">
      <t>ケン</t>
    </rPh>
    <phoneticPr fontId="4"/>
  </si>
  <si>
    <t>福島県</t>
    <rPh sb="2" eb="3">
      <t>ケン</t>
    </rPh>
    <phoneticPr fontId="4"/>
  </si>
  <si>
    <t>茨城県</t>
    <rPh sb="2" eb="3">
      <t>ケン</t>
    </rPh>
    <phoneticPr fontId="4"/>
  </si>
  <si>
    <t>栃木県</t>
    <rPh sb="2" eb="3">
      <t>ケン</t>
    </rPh>
    <phoneticPr fontId="4"/>
  </si>
  <si>
    <t>群馬県</t>
    <rPh sb="2" eb="3">
      <t>ケン</t>
    </rPh>
    <phoneticPr fontId="4"/>
  </si>
  <si>
    <t>埼玉県</t>
    <rPh sb="2" eb="3">
      <t>ケン</t>
    </rPh>
    <phoneticPr fontId="4"/>
  </si>
  <si>
    <t>千葉県</t>
    <rPh sb="2" eb="3">
      <t>ケン</t>
    </rPh>
    <phoneticPr fontId="4"/>
  </si>
  <si>
    <t>東京都</t>
    <rPh sb="2" eb="3">
      <t>ト</t>
    </rPh>
    <phoneticPr fontId="4"/>
  </si>
  <si>
    <t>神奈川県</t>
    <rPh sb="3" eb="4">
      <t>ケン</t>
    </rPh>
    <phoneticPr fontId="4"/>
  </si>
  <si>
    <t>新潟県</t>
    <rPh sb="2" eb="3">
      <t>ケン</t>
    </rPh>
    <phoneticPr fontId="4"/>
  </si>
  <si>
    <t>富山県</t>
    <rPh sb="2" eb="3">
      <t>ケン</t>
    </rPh>
    <phoneticPr fontId="4"/>
  </si>
  <si>
    <t>石川県</t>
    <rPh sb="2" eb="3">
      <t>ケン</t>
    </rPh>
    <phoneticPr fontId="4"/>
  </si>
  <si>
    <t>福井県</t>
    <rPh sb="2" eb="3">
      <t>ケン</t>
    </rPh>
    <phoneticPr fontId="4"/>
  </si>
  <si>
    <t>山梨県</t>
    <rPh sb="2" eb="3">
      <t>ケン</t>
    </rPh>
    <phoneticPr fontId="4"/>
  </si>
  <si>
    <t>長野県</t>
    <rPh sb="2" eb="3">
      <t>ケン</t>
    </rPh>
    <phoneticPr fontId="4"/>
  </si>
  <si>
    <t>岐阜県</t>
    <rPh sb="2" eb="3">
      <t>ケン</t>
    </rPh>
    <phoneticPr fontId="4"/>
  </si>
  <si>
    <t>静岡県</t>
    <rPh sb="2" eb="3">
      <t>ケン</t>
    </rPh>
    <phoneticPr fontId="4"/>
  </si>
  <si>
    <t>愛知県</t>
    <rPh sb="2" eb="3">
      <t>ケン</t>
    </rPh>
    <phoneticPr fontId="4"/>
  </si>
  <si>
    <t>三重県</t>
    <rPh sb="2" eb="3">
      <t>ケン</t>
    </rPh>
    <phoneticPr fontId="4"/>
  </si>
  <si>
    <t>滋賀県</t>
    <rPh sb="2" eb="3">
      <t>ケン</t>
    </rPh>
    <phoneticPr fontId="4"/>
  </si>
  <si>
    <t>京都府</t>
    <rPh sb="2" eb="3">
      <t>フ</t>
    </rPh>
    <phoneticPr fontId="4"/>
  </si>
  <si>
    <t>大阪府</t>
    <rPh sb="2" eb="3">
      <t>フ</t>
    </rPh>
    <phoneticPr fontId="4"/>
  </si>
  <si>
    <t>兵庫県</t>
    <rPh sb="2" eb="3">
      <t>ケン</t>
    </rPh>
    <phoneticPr fontId="4"/>
  </si>
  <si>
    <t>奈良県</t>
    <rPh sb="2" eb="3">
      <t>ケン</t>
    </rPh>
    <phoneticPr fontId="4"/>
  </si>
  <si>
    <t>和歌山県</t>
    <rPh sb="3" eb="4">
      <t>ケン</t>
    </rPh>
    <phoneticPr fontId="4"/>
  </si>
  <si>
    <t>鳥取県</t>
    <rPh sb="2" eb="3">
      <t>ケン</t>
    </rPh>
    <phoneticPr fontId="4"/>
  </si>
  <si>
    <t>島根県</t>
    <rPh sb="2" eb="3">
      <t>ケン</t>
    </rPh>
    <phoneticPr fontId="4"/>
  </si>
  <si>
    <t>岡山県</t>
    <rPh sb="2" eb="3">
      <t>ケン</t>
    </rPh>
    <phoneticPr fontId="4"/>
  </si>
  <si>
    <t>広島県</t>
    <rPh sb="2" eb="3">
      <t>ケン</t>
    </rPh>
    <phoneticPr fontId="4"/>
  </si>
  <si>
    <t>山口県</t>
    <rPh sb="2" eb="3">
      <t>ケン</t>
    </rPh>
    <phoneticPr fontId="4"/>
  </si>
  <si>
    <t>徳島県</t>
    <rPh sb="0" eb="3">
      <t>トクシマケン</t>
    </rPh>
    <phoneticPr fontId="4"/>
  </si>
  <si>
    <t>香川県</t>
    <rPh sb="2" eb="3">
      <t>ケン</t>
    </rPh>
    <phoneticPr fontId="4"/>
  </si>
  <si>
    <t>愛媛県</t>
    <rPh sb="2" eb="3">
      <t>ケン</t>
    </rPh>
    <phoneticPr fontId="4"/>
  </si>
  <si>
    <t>高知県</t>
    <rPh sb="2" eb="3">
      <t>ケン</t>
    </rPh>
    <phoneticPr fontId="4"/>
  </si>
  <si>
    <t>福岡県</t>
    <rPh sb="2" eb="3">
      <t>ケン</t>
    </rPh>
    <phoneticPr fontId="4"/>
  </si>
  <si>
    <t>佐賀県</t>
    <rPh sb="2" eb="3">
      <t>ケン</t>
    </rPh>
    <phoneticPr fontId="4"/>
  </si>
  <si>
    <t>長崎県</t>
    <rPh sb="2" eb="3">
      <t>ケン</t>
    </rPh>
    <phoneticPr fontId="4"/>
  </si>
  <si>
    <t>熊本県</t>
    <rPh sb="2" eb="3">
      <t>ケン</t>
    </rPh>
    <phoneticPr fontId="4"/>
  </si>
  <si>
    <t>大分県</t>
    <rPh sb="2" eb="3">
      <t>ケン</t>
    </rPh>
    <phoneticPr fontId="4"/>
  </si>
  <si>
    <t>宮崎県</t>
    <rPh sb="2" eb="3">
      <t>ケン</t>
    </rPh>
    <phoneticPr fontId="4"/>
  </si>
  <si>
    <t>鹿児島県</t>
    <rPh sb="3" eb="4">
      <t>ケン</t>
    </rPh>
    <phoneticPr fontId="4"/>
  </si>
  <si>
    <t>沖縄県</t>
    <rPh sb="2" eb="3">
      <t>ケン</t>
    </rPh>
    <phoneticPr fontId="4"/>
  </si>
  <si>
    <t>道路統計年報
（国土交通省）</t>
    <rPh sb="0" eb="2">
      <t>ドウロ</t>
    </rPh>
    <rPh sb="2" eb="4">
      <t>トウケイ</t>
    </rPh>
    <rPh sb="4" eb="6">
      <t>ネンポウ</t>
    </rPh>
    <rPh sb="8" eb="10">
      <t>コクド</t>
    </rPh>
    <rPh sb="10" eb="13">
      <t>コウツウショウ</t>
    </rPh>
    <phoneticPr fontId="4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</si>
  <si>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4"/>
  </si>
  <si>
    <t>医療施設調査（厚生労働省）</t>
    <rPh sb="0" eb="2">
      <t>イリョウ</t>
    </rPh>
    <rPh sb="2" eb="4">
      <t>シセツ</t>
    </rPh>
    <rPh sb="4" eb="6">
      <t>チョウサ</t>
    </rPh>
    <rPh sb="7" eb="12">
      <t>コウセイロウドウショウ</t>
    </rPh>
    <phoneticPr fontId="4"/>
  </si>
  <si>
    <t>学校基本調査（文部科学省）</t>
    <rPh sb="0" eb="2">
      <t>ガッコウ</t>
    </rPh>
    <rPh sb="2" eb="4">
      <t>キホン</t>
    </rPh>
    <rPh sb="4" eb="6">
      <t>チョウサ</t>
    </rPh>
    <rPh sb="7" eb="8">
      <t>ブン</t>
    </rPh>
    <rPh sb="8" eb="9">
      <t>ブ</t>
    </rPh>
    <rPh sb="9" eb="10">
      <t>カ</t>
    </rPh>
    <rPh sb="10" eb="11">
      <t>ガク</t>
    </rPh>
    <rPh sb="11" eb="12">
      <t>ショウ</t>
    </rPh>
    <phoneticPr fontId="4"/>
  </si>
  <si>
    <t>県民経済計算、国民経済計算（内閣府）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rPh sb="14" eb="16">
      <t>ナイカク</t>
    </rPh>
    <rPh sb="16" eb="17">
      <t>フ</t>
    </rPh>
    <phoneticPr fontId="4"/>
  </si>
  <si>
    <t>都道府県決算状況調　　
（総務省）</t>
    <rPh sb="0" eb="4">
      <t>トドウフケン</t>
    </rPh>
    <rPh sb="4" eb="6">
      <t>ケッサン</t>
    </rPh>
    <rPh sb="6" eb="8">
      <t>ジョウキョウ</t>
    </rPh>
    <rPh sb="8" eb="9">
      <t>シラ</t>
    </rPh>
    <rPh sb="13" eb="16">
      <t>ソウムショウ</t>
    </rPh>
    <phoneticPr fontId="4"/>
  </si>
  <si>
    <t>⑨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4"/>
  </si>
  <si>
    <t>54～55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</si>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</sst>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#,###,##0;&quot; -&quot;###,###,##0"/>
    <numFmt numFmtId="177" formatCode="#,##0_ "/>
    <numFmt numFmtId="178" formatCode="#,##0.0;[Red]\-#,##0.0"/>
    <numFmt numFmtId="179" formatCode="* #,##0;* \-#,##0;* &quot;-&quot;;@"/>
    <numFmt numFmtId="180" formatCode="###,###,##0.0;&quot;-&quot;##,###,##0.0"/>
    <numFmt numFmtId="181" formatCode="##,##0\ ;&quot;△&quot;?,??0\ ;@\ "/>
    <numFmt numFmtId="182" formatCode="#,##0_ ;[Red]\-#,##0\ "/>
    <numFmt numFmtId="183" formatCode="#,##0;&quot;▲ &quot;#,##0"/>
    <numFmt numFmtId="184" formatCode="#,##0\ "/>
    <numFmt numFmtId="185" formatCode="[&gt;0]#,##0.0,;&quot;-&quot;"/>
    <numFmt numFmtId="186" formatCode="#,##0.0_);[Red]\(#,##0.0\)"/>
    <numFmt numFmtId="187" formatCode="#,##0;0;&quot;－&quot;"/>
    <numFmt numFmtId="188" formatCode="\ ###,###,###,###,##0;&quot;-&quot;###,###,###,###,##0"/>
    <numFmt numFmtId="189" formatCode="#,##0;0;&quot;…&quot;"/>
  </numFmts>
  <fonts count="8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b/>
      <sz val="11"/>
      <name val="ＭＳ ゴシック"/>
      <family val="3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4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52" fillId="7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55" fillId="2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/>
    <xf numFmtId="0" fontId="8" fillId="0" borderId="0">
      <alignment vertical="center"/>
    </xf>
    <xf numFmtId="0" fontId="37" fillId="0" borderId="0"/>
    <xf numFmtId="0" fontId="3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6" fillId="0" borderId="0">
      <alignment vertical="center"/>
    </xf>
    <xf numFmtId="0" fontId="37" fillId="0" borderId="0"/>
    <xf numFmtId="0" fontId="52" fillId="0" borderId="0"/>
    <xf numFmtId="0" fontId="59" fillId="0" borderId="0"/>
    <xf numFmtId="0" fontId="60" fillId="0" borderId="0"/>
    <xf numFmtId="0" fontId="8" fillId="0" borderId="0"/>
    <xf numFmtId="0" fontId="8" fillId="0" borderId="0"/>
    <xf numFmtId="0" fontId="2" fillId="0" borderId="0"/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52" fillId="0" borderId="0"/>
  </cellStyleXfs>
  <cellXfs count="463">
    <xf numFmtId="0" fontId="0" fillId="0" borderId="0" xfId="0"/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5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42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/>
    <xf numFmtId="49" fontId="30" fillId="0" borderId="0" xfId="96" applyNumberFormat="1" applyFont="1" applyFill="1" applyBorder="1" applyAlignment="1">
      <alignment horizontal="centerContinuous" vertical="top"/>
    </xf>
    <xf numFmtId="0" fontId="44" fillId="0" borderId="0" xfId="0" applyFont="1" applyFill="1" applyBorder="1" applyAlignment="1"/>
    <xf numFmtId="0" fontId="42" fillId="0" borderId="0" xfId="0" applyFont="1" applyFill="1" applyAlignment="1">
      <alignment horizontal="right"/>
    </xf>
    <xf numFmtId="49" fontId="45" fillId="0" borderId="0" xfId="0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47" fillId="0" borderId="0" xfId="0" applyNumberFormat="1" applyFont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0" fillId="0" borderId="0" xfId="0" applyFont="1" applyFill="1" applyBorder="1" applyAlignment="1">
      <alignment vertical="center"/>
    </xf>
    <xf numFmtId="0" fontId="50" fillId="0" borderId="20" xfId="0" applyFont="1" applyFill="1" applyBorder="1" applyAlignment="1">
      <alignment horizontal="centerContinuous" vertical="center"/>
    </xf>
    <xf numFmtId="0" fontId="50" fillId="0" borderId="0" xfId="0" applyFont="1" applyFill="1" applyBorder="1" applyAlignment="1">
      <alignment horizontal="centerContinuous" vertical="center"/>
    </xf>
    <xf numFmtId="0" fontId="49" fillId="0" borderId="18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Continuous" vertical="center"/>
    </xf>
    <xf numFmtId="0" fontId="51" fillId="0" borderId="15" xfId="0" applyFont="1" applyFill="1" applyBorder="1" applyAlignment="1">
      <alignment horizontal="centerContinuous" vertical="center"/>
    </xf>
    <xf numFmtId="49" fontId="33" fillId="0" borderId="15" xfId="96" applyNumberFormat="1" applyFont="1" applyFill="1" applyBorder="1" applyAlignment="1">
      <alignment horizontal="center" vertical="center"/>
    </xf>
    <xf numFmtId="49" fontId="33" fillId="0" borderId="22" xfId="96" applyNumberFormat="1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Continuous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vertical="center"/>
    </xf>
    <xf numFmtId="0" fontId="49" fillId="0" borderId="16" xfId="0" applyFont="1" applyFill="1" applyBorder="1" applyAlignment="1">
      <alignment vertical="center"/>
    </xf>
    <xf numFmtId="0" fontId="49" fillId="0" borderId="16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49" fillId="0" borderId="0" xfId="0" applyFont="1" applyFill="1" applyAlignment="1"/>
    <xf numFmtId="49" fontId="34" fillId="0" borderId="0" xfId="96" applyNumberFormat="1" applyFont="1" applyFill="1" applyBorder="1" applyAlignment="1">
      <alignment horizontal="distributed"/>
    </xf>
    <xf numFmtId="0" fontId="51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4" fillId="0" borderId="15" xfId="96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0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49" fillId="0" borderId="23" xfId="0" applyFont="1" applyFill="1" applyBorder="1" applyAlignment="1"/>
    <xf numFmtId="0" fontId="51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49" fillId="0" borderId="0" xfId="0" applyFont="1" applyAlignment="1"/>
    <xf numFmtId="0" fontId="0" fillId="0" borderId="0" xfId="0" applyAlignment="1">
      <alignment horizontal="right"/>
    </xf>
    <xf numFmtId="0" fontId="49" fillId="0" borderId="0" xfId="0" applyFont="1" applyFill="1" applyAlignment="1">
      <alignment horizontal="distributed"/>
    </xf>
    <xf numFmtId="0" fontId="8" fillId="0" borderId="0" xfId="0" applyFont="1"/>
    <xf numFmtId="0" fontId="38" fillId="0" borderId="0" xfId="0" applyFont="1" applyBorder="1"/>
    <xf numFmtId="0" fontId="38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Border="1"/>
    <xf numFmtId="0" fontId="8" fillId="0" borderId="21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distributed"/>
    </xf>
    <xf numFmtId="179" fontId="8" fillId="0" borderId="26" xfId="0" applyNumberFormat="1" applyFont="1" applyFill="1" applyBorder="1" applyAlignment="1">
      <alignment horizontal="right"/>
    </xf>
    <xf numFmtId="179" fontId="39" fillId="0" borderId="26" xfId="0" applyNumberFormat="1" applyFont="1" applyFill="1" applyBorder="1" applyAlignment="1">
      <alignment horizontal="right"/>
    </xf>
    <xf numFmtId="179" fontId="39" fillId="0" borderId="26" xfId="0" applyNumberFormat="1" applyFont="1" applyFill="1" applyBorder="1" applyAlignment="1">
      <alignment horizontal="right" vertical="center"/>
    </xf>
    <xf numFmtId="0" fontId="38" fillId="0" borderId="0" xfId="0" applyFont="1" applyFill="1"/>
    <xf numFmtId="0" fontId="8" fillId="0" borderId="24" xfId="0" applyFont="1" applyFill="1" applyBorder="1" applyAlignment="1">
      <alignment horizontal="center" vertical="center" textRotation="255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distributed"/>
    </xf>
    <xf numFmtId="0" fontId="3" fillId="0" borderId="1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0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0" fillId="30" borderId="2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10" fillId="30" borderId="15" xfId="0" applyFont="1" applyFill="1" applyBorder="1" applyAlignment="1">
      <alignment horizontal="distributed" vertical="center"/>
    </xf>
    <xf numFmtId="38" fontId="10" fillId="30" borderId="20" xfId="60" applyFont="1" applyFill="1" applyBorder="1" applyAlignment="1">
      <alignment vertical="center"/>
    </xf>
    <xf numFmtId="38" fontId="10" fillId="30" borderId="0" xfId="60" applyFont="1" applyFill="1" applyBorder="1" applyAlignment="1">
      <alignment vertical="center"/>
    </xf>
    <xf numFmtId="0" fontId="61" fillId="0" borderId="0" xfId="0" applyFont="1" applyFill="1" applyAlignment="1">
      <alignment horizontal="right" vertical="center"/>
    </xf>
    <xf numFmtId="38" fontId="63" fillId="30" borderId="0" xfId="60" applyFont="1" applyFill="1">
      <alignment vertical="center"/>
    </xf>
    <xf numFmtId="0" fontId="0" fillId="0" borderId="0" xfId="0" applyFont="1" applyFill="1" applyAlignment="1">
      <alignment vertical="center"/>
    </xf>
    <xf numFmtId="181" fontId="10" fillId="30" borderId="0" xfId="95" quotePrefix="1" applyNumberFormat="1" applyFont="1" applyFill="1" applyBorder="1" applyAlignment="1" applyProtection="1">
      <alignment vertical="center"/>
      <protection hidden="1"/>
    </xf>
    <xf numFmtId="181" fontId="10" fillId="30" borderId="0" xfId="84" quotePrefix="1" applyNumberFormat="1" applyFont="1" applyFill="1" applyBorder="1" applyAlignment="1" applyProtection="1">
      <alignment vertical="center"/>
      <protection hidden="1"/>
    </xf>
    <xf numFmtId="181" fontId="10" fillId="30" borderId="0" xfId="84" applyNumberFormat="1" applyFont="1" applyFill="1" applyAlignment="1">
      <alignment vertical="center"/>
    </xf>
    <xf numFmtId="181" fontId="10" fillId="30" borderId="0" xfId="84" applyNumberFormat="1" applyFont="1" applyFill="1" applyBorder="1" applyAlignment="1">
      <alignment vertical="center"/>
    </xf>
    <xf numFmtId="38" fontId="10" fillId="30" borderId="20" xfId="60" applyFont="1" applyFill="1" applyBorder="1">
      <alignment vertical="center"/>
    </xf>
    <xf numFmtId="38" fontId="10" fillId="30" borderId="0" xfId="60" applyFont="1" applyFill="1" applyBorder="1">
      <alignment vertical="center"/>
    </xf>
    <xf numFmtId="0" fontId="10" fillId="30" borderId="0" xfId="0" applyFont="1" applyFill="1" applyBorder="1" applyAlignment="1">
      <alignment vertical="center"/>
    </xf>
    <xf numFmtId="0" fontId="10" fillId="30" borderId="15" xfId="0" applyFont="1" applyFill="1" applyBorder="1" applyAlignment="1">
      <alignment vertical="center"/>
    </xf>
    <xf numFmtId="182" fontId="10" fillId="30" borderId="0" xfId="60" applyNumberFormat="1" applyFont="1" applyFill="1" applyBorder="1" applyAlignment="1">
      <alignment vertical="center"/>
    </xf>
    <xf numFmtId="3" fontId="63" fillId="30" borderId="20" xfId="97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3" fontId="63" fillId="0" borderId="20" xfId="97" applyNumberFormat="1" applyFont="1" applyFill="1" applyBorder="1" applyAlignment="1">
      <alignment vertical="center"/>
    </xf>
    <xf numFmtId="182" fontId="10" fillId="0" borderId="0" xfId="60" applyNumberFormat="1" applyFont="1" applyFill="1" applyBorder="1" applyAlignment="1">
      <alignment vertical="center"/>
    </xf>
    <xf numFmtId="38" fontId="10" fillId="0" borderId="20" xfId="60" applyFont="1" applyFill="1" applyBorder="1" applyAlignment="1">
      <alignment vertical="center"/>
    </xf>
    <xf numFmtId="178" fontId="10" fillId="0" borderId="0" xfId="63" applyNumberFormat="1" applyFont="1" applyFill="1" applyBorder="1" applyAlignment="1">
      <alignment vertical="center"/>
    </xf>
    <xf numFmtId="38" fontId="10" fillId="0" borderId="0" xfId="60" applyFont="1" applyFill="1" applyBorder="1" applyAlignment="1">
      <alignment vertical="center"/>
    </xf>
    <xf numFmtId="38" fontId="63" fillId="0" borderId="0" xfId="6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38" fontId="63" fillId="0" borderId="0" xfId="60" applyFont="1" applyFill="1" applyAlignment="1">
      <alignment vertical="center"/>
    </xf>
    <xf numFmtId="177" fontId="63" fillId="0" borderId="0" xfId="60" applyNumberFormat="1" applyFont="1" applyFill="1" applyAlignment="1">
      <alignment vertical="center"/>
    </xf>
    <xf numFmtId="38" fontId="10" fillId="0" borderId="0" xfId="60" applyFont="1" applyFill="1" applyAlignment="1">
      <alignment vertical="center"/>
    </xf>
    <xf numFmtId="181" fontId="10" fillId="0" borderId="0" xfId="84" quotePrefix="1" applyNumberFormat="1" applyFont="1" applyFill="1" applyBorder="1" applyAlignment="1" applyProtection="1">
      <alignment horizontal="right" vertical="center"/>
      <protection hidden="1"/>
    </xf>
    <xf numFmtId="181" fontId="10" fillId="0" borderId="0" xfId="84" applyNumberFormat="1" applyFont="1" applyFill="1" applyAlignment="1">
      <alignment horizontal="right" vertical="center"/>
    </xf>
    <xf numFmtId="181" fontId="10" fillId="0" borderId="0" xfId="84" applyNumberFormat="1" applyFont="1" applyFill="1" applyBorder="1" applyAlignment="1">
      <alignment horizontal="right" vertical="center"/>
    </xf>
    <xf numFmtId="3" fontId="61" fillId="0" borderId="20" xfId="97" applyNumberFormat="1" applyFont="1" applyFill="1" applyBorder="1" applyAlignment="1">
      <alignment vertical="center"/>
    </xf>
    <xf numFmtId="182" fontId="3" fillId="0" borderId="0" xfId="60" applyNumberFormat="1" applyFont="1" applyFill="1" applyBorder="1" applyAlignment="1">
      <alignment vertical="center"/>
    </xf>
    <xf numFmtId="38" fontId="3" fillId="0" borderId="20" xfId="60" applyFont="1" applyFill="1" applyBorder="1" applyAlignment="1">
      <alignment vertical="center"/>
    </xf>
    <xf numFmtId="38" fontId="3" fillId="0" borderId="0" xfId="60" applyFont="1" applyFill="1" applyBorder="1" applyAlignment="1">
      <alignment vertical="center"/>
    </xf>
    <xf numFmtId="38" fontId="3" fillId="0" borderId="20" xfId="60" applyFont="1" applyFill="1" applyBorder="1">
      <alignment vertical="center"/>
    </xf>
    <xf numFmtId="38" fontId="3" fillId="0" borderId="0" xfId="6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38" fontId="61" fillId="0" borderId="0" xfId="60" applyFont="1" applyFill="1">
      <alignment vertical="center"/>
    </xf>
    <xf numFmtId="181" fontId="3" fillId="0" borderId="0" xfId="95" quotePrefix="1" applyNumberFormat="1" applyFont="1" applyFill="1" applyBorder="1" applyAlignment="1" applyProtection="1">
      <alignment vertical="center"/>
      <protection hidden="1"/>
    </xf>
    <xf numFmtId="181" fontId="3" fillId="0" borderId="0" xfId="84" quotePrefix="1" applyNumberFormat="1" applyFont="1" applyFill="1" applyBorder="1" applyAlignment="1" applyProtection="1">
      <alignment vertical="center"/>
      <protection hidden="1"/>
    </xf>
    <xf numFmtId="181" fontId="3" fillId="0" borderId="0" xfId="84" applyNumberFormat="1" applyFont="1" applyFill="1" applyAlignment="1">
      <alignment vertical="center"/>
    </xf>
    <xf numFmtId="181" fontId="3" fillId="0" borderId="0" xfId="84" applyNumberFormat="1" applyFont="1" applyFill="1" applyBorder="1" applyAlignment="1"/>
    <xf numFmtId="181" fontId="3" fillId="0" borderId="0" xfId="84" applyNumberFormat="1" applyFont="1" applyFill="1" applyBorder="1" applyAlignment="1">
      <alignment horizontal="right"/>
    </xf>
    <xf numFmtId="38" fontId="61" fillId="0" borderId="0" xfId="60" applyFont="1" applyFill="1" applyAlignment="1">
      <alignment vertical="center"/>
    </xf>
    <xf numFmtId="3" fontId="61" fillId="0" borderId="25" xfId="97" applyNumberFormat="1" applyFont="1" applyFill="1" applyBorder="1" applyAlignment="1">
      <alignment vertical="center"/>
    </xf>
    <xf numFmtId="182" fontId="3" fillId="0" borderId="23" xfId="60" applyNumberFormat="1" applyFont="1" applyFill="1" applyBorder="1" applyAlignment="1">
      <alignment vertical="center"/>
    </xf>
    <xf numFmtId="38" fontId="3" fillId="0" borderId="25" xfId="60" applyFont="1" applyFill="1" applyBorder="1">
      <alignment vertical="center"/>
    </xf>
    <xf numFmtId="38" fontId="3" fillId="0" borderId="23" xfId="6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38" fontId="10" fillId="0" borderId="20" xfId="66" applyFont="1" applyFill="1" applyBorder="1">
      <alignment vertical="center"/>
    </xf>
    <xf numFmtId="38" fontId="10" fillId="0" borderId="15" xfId="66" applyFont="1" applyFill="1" applyBorder="1">
      <alignment vertical="center"/>
    </xf>
    <xf numFmtId="38" fontId="10" fillId="0" borderId="0" xfId="66" applyFont="1" applyFill="1" applyBorder="1">
      <alignment vertical="center"/>
    </xf>
    <xf numFmtId="0" fontId="10" fillId="0" borderId="22" xfId="0" applyFont="1" applyFill="1" applyBorder="1" applyAlignment="1">
      <alignment horizontal="left" vertical="center"/>
    </xf>
    <xf numFmtId="38" fontId="3" fillId="0" borderId="20" xfId="66" applyFont="1" applyFill="1" applyBorder="1">
      <alignment vertical="center"/>
    </xf>
    <xf numFmtId="38" fontId="3" fillId="0" borderId="15" xfId="66" applyFont="1" applyFill="1" applyBorder="1">
      <alignment vertical="center"/>
    </xf>
    <xf numFmtId="38" fontId="3" fillId="0" borderId="0" xfId="66" applyFont="1" applyFill="1" applyBorder="1">
      <alignment vertical="center"/>
    </xf>
    <xf numFmtId="0" fontId="3" fillId="0" borderId="22" xfId="0" applyFont="1" applyFill="1" applyBorder="1" applyAlignment="1">
      <alignment horizontal="left" vertical="center"/>
    </xf>
    <xf numFmtId="0" fontId="63" fillId="30" borderId="15" xfId="0" applyFont="1" applyFill="1" applyBorder="1" applyAlignment="1">
      <alignment horizontal="distributed" vertical="center"/>
    </xf>
    <xf numFmtId="38" fontId="10" fillId="30" borderId="0" xfId="66" applyFont="1" applyFill="1">
      <alignment vertical="center"/>
    </xf>
    <xf numFmtId="38" fontId="63" fillId="30" borderId="0" xfId="66" applyFont="1" applyFill="1">
      <alignment vertical="center"/>
    </xf>
    <xf numFmtId="177" fontId="63" fillId="30" borderId="0" xfId="105" applyNumberFormat="1" applyFont="1" applyFill="1" applyBorder="1" applyAlignment="1">
      <alignment horizontal="right" vertical="center"/>
    </xf>
    <xf numFmtId="184" fontId="63" fillId="30" borderId="0" xfId="105" quotePrefix="1" applyNumberFormat="1" applyFont="1" applyFill="1" applyBorder="1" applyAlignment="1">
      <alignment horizontal="right" vertical="center"/>
    </xf>
    <xf numFmtId="38" fontId="10" fillId="30" borderId="20" xfId="66" applyFont="1" applyFill="1" applyBorder="1">
      <alignment vertical="center"/>
    </xf>
    <xf numFmtId="38" fontId="10" fillId="30" borderId="15" xfId="66" applyFont="1" applyFill="1" applyBorder="1">
      <alignment vertical="center"/>
    </xf>
    <xf numFmtId="183" fontId="69" fillId="30" borderId="20" xfId="0" applyNumberFormat="1" applyFont="1" applyFill="1" applyBorder="1" applyAlignment="1">
      <alignment horizontal="right" shrinkToFit="1"/>
    </xf>
    <xf numFmtId="183" fontId="69" fillId="30" borderId="0" xfId="0" applyNumberFormat="1" applyFont="1" applyFill="1" applyBorder="1" applyAlignment="1">
      <alignment horizontal="right" shrinkToFit="1"/>
    </xf>
    <xf numFmtId="183" fontId="69" fillId="30" borderId="15" xfId="0" applyNumberFormat="1" applyFont="1" applyFill="1" applyBorder="1" applyAlignment="1">
      <alignment horizontal="right" shrinkToFit="1"/>
    </xf>
    <xf numFmtId="38" fontId="10" fillId="30" borderId="0" xfId="66" applyFont="1" applyFill="1" applyBorder="1">
      <alignment vertical="center"/>
    </xf>
    <xf numFmtId="0" fontId="10" fillId="30" borderId="22" xfId="0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distributed" vertical="center"/>
    </xf>
    <xf numFmtId="38" fontId="3" fillId="0" borderId="25" xfId="66" applyFont="1" applyFill="1" applyBorder="1">
      <alignment vertical="center"/>
    </xf>
    <xf numFmtId="0" fontId="3" fillId="0" borderId="24" xfId="0" applyFont="1" applyFill="1" applyBorder="1" applyAlignment="1">
      <alignment horizontal="left" vertical="center"/>
    </xf>
    <xf numFmtId="0" fontId="73" fillId="0" borderId="17" xfId="0" applyFont="1" applyFill="1" applyBorder="1" applyAlignment="1">
      <alignment vertical="center"/>
    </xf>
    <xf numFmtId="0" fontId="74" fillId="0" borderId="17" xfId="0" applyFont="1" applyFill="1" applyBorder="1" applyAlignment="1"/>
    <xf numFmtId="0" fontId="74" fillId="0" borderId="17" xfId="0" applyFont="1" applyFill="1" applyBorder="1" applyAlignment="1">
      <alignment vertical="center"/>
    </xf>
    <xf numFmtId="0" fontId="64" fillId="0" borderId="17" xfId="0" applyFont="1" applyFill="1" applyBorder="1" applyAlignme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0" fontId="67" fillId="0" borderId="0" xfId="0" applyFont="1" applyFill="1" applyAlignment="1">
      <alignment vertical="center"/>
    </xf>
    <xf numFmtId="38" fontId="67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75" fillId="0" borderId="0" xfId="0" applyNumberFormat="1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0" fontId="61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8" fontId="10" fillId="0" borderId="0" xfId="66" applyFont="1" applyFill="1">
      <alignment vertical="center"/>
    </xf>
    <xf numFmtId="38" fontId="63" fillId="0" borderId="0" xfId="66" applyFont="1" applyFill="1">
      <alignment vertical="center"/>
    </xf>
    <xf numFmtId="38" fontId="63" fillId="0" borderId="0" xfId="66" applyFont="1" applyFill="1" applyAlignment="1">
      <alignment vertical="center"/>
    </xf>
    <xf numFmtId="38" fontId="3" fillId="0" borderId="0" xfId="66" applyFont="1" applyFill="1">
      <alignment vertical="center"/>
    </xf>
    <xf numFmtId="38" fontId="61" fillId="0" borderId="0" xfId="66" applyFont="1" applyFill="1">
      <alignment vertical="center"/>
    </xf>
    <xf numFmtId="177" fontId="61" fillId="0" borderId="0" xfId="105" applyNumberFormat="1" applyFont="1" applyFill="1" applyBorder="1" applyAlignment="1">
      <alignment horizontal="right" vertical="center"/>
    </xf>
    <xf numFmtId="184" fontId="61" fillId="0" borderId="0" xfId="105" quotePrefix="1" applyNumberFormat="1" applyFont="1" applyFill="1" applyBorder="1" applyAlignment="1">
      <alignment horizontal="right" vertical="center"/>
    </xf>
    <xf numFmtId="0" fontId="61" fillId="0" borderId="0" xfId="0" applyFont="1" applyFill="1" applyAlignment="1">
      <alignment vertical="center"/>
    </xf>
    <xf numFmtId="183" fontId="69" fillId="0" borderId="0" xfId="0" applyNumberFormat="1" applyFont="1" applyFill="1" applyBorder="1" applyAlignment="1">
      <alignment horizontal="right" shrinkToFit="1"/>
    </xf>
    <xf numFmtId="183" fontId="36" fillId="0" borderId="0" xfId="0" applyNumberFormat="1" applyFont="1" applyFill="1" applyBorder="1" applyAlignment="1">
      <alignment horizontal="right" shrinkToFit="1"/>
    </xf>
    <xf numFmtId="183" fontId="36" fillId="0" borderId="15" xfId="0" applyNumberFormat="1" applyFont="1" applyFill="1" applyBorder="1" applyAlignment="1">
      <alignment horizontal="right" shrinkToFit="1"/>
    </xf>
    <xf numFmtId="183" fontId="36" fillId="0" borderId="20" xfId="0" applyNumberFormat="1" applyFont="1" applyFill="1" applyBorder="1" applyAlignment="1">
      <alignment horizontal="right" shrinkToFit="1"/>
    </xf>
    <xf numFmtId="0" fontId="3" fillId="0" borderId="15" xfId="0" applyFont="1" applyFill="1" applyBorder="1" applyAlignment="1">
      <alignment horizontal="distributed" vertical="center"/>
    </xf>
    <xf numFmtId="0" fontId="61" fillId="0" borderId="16" xfId="0" applyFont="1" applyFill="1" applyBorder="1" applyAlignment="1">
      <alignment horizontal="distributed" vertical="center"/>
    </xf>
    <xf numFmtId="0" fontId="70" fillId="0" borderId="21" xfId="0" applyFont="1" applyFill="1" applyBorder="1" applyAlignment="1">
      <alignment horizontal="center" vertical="center" wrapText="1"/>
    </xf>
    <xf numFmtId="183" fontId="36" fillId="0" borderId="25" xfId="0" applyNumberFormat="1" applyFont="1" applyFill="1" applyBorder="1" applyAlignment="1">
      <alignment horizontal="right" shrinkToFit="1"/>
    </xf>
    <xf numFmtId="183" fontId="36" fillId="0" borderId="23" xfId="0" applyNumberFormat="1" applyFont="1" applyFill="1" applyBorder="1" applyAlignment="1">
      <alignment horizontal="right" shrinkToFit="1"/>
    </xf>
    <xf numFmtId="183" fontId="36" fillId="0" borderId="16" xfId="0" applyNumberFormat="1" applyFont="1" applyFill="1" applyBorder="1" applyAlignment="1">
      <alignment horizontal="right" shrinkToFit="1"/>
    </xf>
    <xf numFmtId="0" fontId="67" fillId="0" borderId="0" xfId="0" applyFont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61" fillId="0" borderId="20" xfId="0" applyFont="1" applyFill="1" applyBorder="1" applyAlignment="1">
      <alignment horizontal="right" vertical="center"/>
    </xf>
    <xf numFmtId="0" fontId="61" fillId="0" borderId="0" xfId="0" applyFont="1" applyFill="1" applyBorder="1" applyAlignment="1">
      <alignment horizontal="right" vertical="center"/>
    </xf>
    <xf numFmtId="0" fontId="61" fillId="0" borderId="17" xfId="0" applyFont="1" applyFill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38" fontId="10" fillId="0" borderId="22" xfId="66" applyFont="1" applyFill="1" applyBorder="1" applyAlignment="1">
      <alignment horizontal="right"/>
    </xf>
    <xf numFmtId="186" fontId="69" fillId="0" borderId="0" xfId="66" applyNumberFormat="1" applyFont="1" applyFill="1" applyAlignment="1"/>
    <xf numFmtId="186" fontId="69" fillId="0" borderId="0" xfId="0" applyNumberFormat="1" applyFont="1" applyFill="1" applyAlignment="1"/>
    <xf numFmtId="186" fontId="69" fillId="0" borderId="15" xfId="0" applyNumberFormat="1" applyFont="1" applyFill="1" applyBorder="1" applyAlignment="1"/>
    <xf numFmtId="187" fontId="76" fillId="0" borderId="0" xfId="0" applyNumberFormat="1" applyFont="1" applyFill="1" applyBorder="1" applyAlignment="1"/>
    <xf numFmtId="187" fontId="77" fillId="0" borderId="0" xfId="0" applyNumberFormat="1" applyFont="1" applyFill="1" applyBorder="1" applyAlignment="1"/>
    <xf numFmtId="187" fontId="76" fillId="0" borderId="0" xfId="0" applyNumberFormat="1" applyFont="1" applyFill="1" applyBorder="1" applyAlignment="1">
      <alignment horizontal="right"/>
    </xf>
    <xf numFmtId="187" fontId="78" fillId="0" borderId="0" xfId="106" applyNumberFormat="1" applyFont="1" applyFill="1" applyBorder="1" applyAlignment="1"/>
    <xf numFmtId="188" fontId="10" fillId="0" borderId="2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88" fontId="10" fillId="0" borderId="15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38" fontId="3" fillId="0" borderId="22" xfId="66" applyFont="1" applyFill="1" applyBorder="1" applyAlignment="1">
      <alignment horizontal="right"/>
    </xf>
    <xf numFmtId="186" fontId="3" fillId="0" borderId="0" xfId="66" applyNumberFormat="1" applyFont="1" applyFill="1" applyAlignment="1"/>
    <xf numFmtId="186" fontId="3" fillId="0" borderId="0" xfId="0" applyNumberFormat="1" applyFont="1" applyFill="1" applyAlignment="1"/>
    <xf numFmtId="186" fontId="3" fillId="0" borderId="15" xfId="0" applyNumberFormat="1" applyFont="1" applyFill="1" applyBorder="1" applyAlignment="1"/>
    <xf numFmtId="187" fontId="61" fillId="0" borderId="0" xfId="0" applyNumberFormat="1" applyFont="1" applyFill="1" applyBorder="1" applyAlignment="1"/>
    <xf numFmtId="187" fontId="3" fillId="0" borderId="0" xfId="0" applyNumberFormat="1" applyFont="1" applyFill="1" applyBorder="1" applyAlignment="1"/>
    <xf numFmtId="187" fontId="61" fillId="0" borderId="0" xfId="0" applyNumberFormat="1" applyFont="1" applyFill="1" applyBorder="1" applyAlignment="1">
      <alignment horizontal="right"/>
    </xf>
    <xf numFmtId="187" fontId="3" fillId="0" borderId="0" xfId="106" applyNumberFormat="1" applyFont="1" applyFill="1" applyAlignment="1"/>
    <xf numFmtId="187" fontId="36" fillId="0" borderId="0" xfId="106" applyNumberFormat="1" applyFont="1" applyFill="1" applyAlignment="1"/>
    <xf numFmtId="177" fontId="3" fillId="0" borderId="2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177" fontId="67" fillId="0" borderId="0" xfId="0" applyNumberFormat="1" applyFont="1" applyFill="1" applyAlignment="1">
      <alignment vertical="center"/>
    </xf>
    <xf numFmtId="179" fontId="3" fillId="0" borderId="22" xfId="84" applyNumberFormat="1" applyFont="1" applyFill="1" applyBorder="1" applyAlignment="1">
      <alignment horizontal="right"/>
    </xf>
    <xf numFmtId="187" fontId="61" fillId="0" borderId="0" xfId="0" applyNumberFormat="1" applyFont="1" applyFill="1" applyAlignment="1"/>
    <xf numFmtId="187" fontId="61" fillId="0" borderId="0" xfId="0" applyNumberFormat="1" applyFont="1" applyFill="1" applyAlignment="1">
      <alignment horizontal="right"/>
    </xf>
    <xf numFmtId="189" fontId="61" fillId="0" borderId="0" xfId="0" applyNumberFormat="1" applyFont="1" applyFill="1" applyAlignment="1"/>
    <xf numFmtId="189" fontId="61" fillId="0" borderId="0" xfId="0" applyNumberFormat="1" applyFont="1" applyFill="1" applyAlignment="1">
      <alignment horizontal="right"/>
    </xf>
    <xf numFmtId="0" fontId="10" fillId="30" borderId="15" xfId="0" applyFont="1" applyFill="1" applyBorder="1" applyAlignment="1">
      <alignment horizontal="distributed"/>
    </xf>
    <xf numFmtId="185" fontId="10" fillId="30" borderId="0" xfId="84" applyNumberFormat="1" applyFont="1" applyFill="1"/>
    <xf numFmtId="179" fontId="10" fillId="30" borderId="22" xfId="84" applyNumberFormat="1" applyFont="1" applyFill="1" applyBorder="1" applyAlignment="1">
      <alignment horizontal="right"/>
    </xf>
    <xf numFmtId="186" fontId="10" fillId="30" borderId="0" xfId="66" applyNumberFormat="1" applyFont="1" applyFill="1" applyAlignment="1"/>
    <xf numFmtId="186" fontId="10" fillId="30" borderId="0" xfId="0" applyNumberFormat="1" applyFont="1" applyFill="1" applyAlignment="1"/>
    <xf numFmtId="186" fontId="10" fillId="30" borderId="15" xfId="0" applyNumberFormat="1" applyFont="1" applyFill="1" applyBorder="1" applyAlignment="1"/>
    <xf numFmtId="187" fontId="76" fillId="30" borderId="0" xfId="0" applyNumberFormat="1" applyFont="1" applyFill="1" applyAlignment="1"/>
    <xf numFmtId="187" fontId="77" fillId="30" borderId="0" xfId="0" applyNumberFormat="1" applyFont="1" applyFill="1" applyBorder="1" applyAlignment="1"/>
    <xf numFmtId="187" fontId="76" fillId="30" borderId="0" xfId="0" applyNumberFormat="1" applyFont="1" applyFill="1" applyBorder="1" applyAlignment="1">
      <alignment horizontal="right"/>
    </xf>
    <xf numFmtId="187" fontId="76" fillId="30" borderId="0" xfId="0" applyNumberFormat="1" applyFont="1" applyFill="1" applyAlignment="1">
      <alignment horizontal="right"/>
    </xf>
    <xf numFmtId="187" fontId="76" fillId="30" borderId="0" xfId="0" applyNumberFormat="1" applyFont="1" applyFill="1" applyBorder="1" applyAlignment="1"/>
    <xf numFmtId="187" fontId="79" fillId="30" borderId="0" xfId="106" applyNumberFormat="1" applyFont="1" applyFill="1" applyAlignment="1"/>
    <xf numFmtId="177" fontId="79" fillId="30" borderId="20" xfId="0" applyNumberFormat="1" applyFont="1" applyFill="1" applyBorder="1" applyAlignment="1">
      <alignment vertical="center"/>
    </xf>
    <xf numFmtId="3" fontId="79" fillId="30" borderId="15" xfId="0" applyNumberFormat="1" applyFont="1" applyFill="1" applyBorder="1" applyAlignment="1">
      <alignment horizontal="right" vertical="center"/>
    </xf>
    <xf numFmtId="3" fontId="79" fillId="30" borderId="20" xfId="0" applyNumberFormat="1" applyFont="1" applyFill="1" applyBorder="1" applyAlignment="1">
      <alignment vertical="center"/>
    </xf>
    <xf numFmtId="3" fontId="79" fillId="30" borderId="15" xfId="0" applyNumberFormat="1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177" fontId="81" fillId="0" borderId="0" xfId="0" applyNumberFormat="1" applyFont="1" applyFill="1" applyAlignment="1">
      <alignment vertical="center"/>
    </xf>
    <xf numFmtId="186" fontId="3" fillId="0" borderId="20" xfId="66" applyNumberFormat="1" applyFont="1" applyFill="1" applyBorder="1" applyAlignment="1"/>
    <xf numFmtId="179" fontId="3" fillId="0" borderId="22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left" vertical="center"/>
    </xf>
    <xf numFmtId="186" fontId="3" fillId="0" borderId="16" xfId="0" applyNumberFormat="1" applyFont="1" applyFill="1" applyBorder="1" applyAlignment="1"/>
    <xf numFmtId="177" fontId="3" fillId="0" borderId="25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177" fontId="67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85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7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185" fontId="10" fillId="0" borderId="0" xfId="84" applyNumberFormat="1" applyFont="1" applyFill="1" applyBorder="1" applyAlignment="1"/>
    <xf numFmtId="185" fontId="3" fillId="0" borderId="0" xfId="84" applyNumberFormat="1" applyFont="1" applyFill="1"/>
    <xf numFmtId="0" fontId="61" fillId="0" borderId="26" xfId="0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71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178" fontId="3" fillId="0" borderId="0" xfId="63" applyNumberFormat="1" applyFont="1" applyFill="1" applyBorder="1" applyAlignment="1">
      <alignment vertical="center"/>
    </xf>
    <xf numFmtId="178" fontId="77" fillId="30" borderId="0" xfId="63" applyNumberFormat="1" applyFont="1" applyFill="1" applyBorder="1" applyAlignment="1">
      <alignment vertical="center"/>
    </xf>
    <xf numFmtId="178" fontId="77" fillId="0" borderId="15" xfId="63" applyNumberFormat="1" applyFont="1" applyFill="1" applyBorder="1" applyAlignment="1">
      <alignment vertical="center"/>
    </xf>
    <xf numFmtId="178" fontId="3" fillId="0" borderId="15" xfId="63" applyNumberFormat="1" applyFont="1" applyFill="1" applyBorder="1" applyAlignment="1">
      <alignment vertical="center"/>
    </xf>
    <xf numFmtId="178" fontId="77" fillId="30" borderId="15" xfId="63" applyNumberFormat="1" applyFont="1" applyFill="1" applyBorder="1" applyAlignment="1">
      <alignment vertical="center"/>
    </xf>
    <xf numFmtId="0" fontId="80" fillId="0" borderId="0" xfId="0" applyFont="1" applyAlignment="1">
      <alignment vertical="center"/>
    </xf>
    <xf numFmtId="176" fontId="67" fillId="0" borderId="0" xfId="0" applyNumberFormat="1" applyFont="1" applyFill="1" applyAlignment="1">
      <alignment vertical="center"/>
    </xf>
    <xf numFmtId="0" fontId="63" fillId="0" borderId="15" xfId="0" applyFont="1" applyFill="1" applyBorder="1" applyAlignment="1">
      <alignment horizontal="distributed" vertical="center"/>
    </xf>
    <xf numFmtId="183" fontId="69" fillId="0" borderId="15" xfId="0" applyNumberFormat="1" applyFont="1" applyFill="1" applyBorder="1" applyAlignment="1">
      <alignment horizontal="right" shrinkToFit="1"/>
    </xf>
    <xf numFmtId="0" fontId="71" fillId="0" borderId="2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/>
    </xf>
    <xf numFmtId="0" fontId="3" fillId="0" borderId="16" xfId="0" applyFont="1" applyBorder="1" applyAlignment="1">
      <alignment horizontal="distributed" vertical="distributed"/>
    </xf>
    <xf numFmtId="0" fontId="3" fillId="0" borderId="33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1" fillId="0" borderId="34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24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left" vertical="distributed"/>
    </xf>
    <xf numFmtId="0" fontId="3" fillId="0" borderId="25" xfId="0" applyFont="1" applyFill="1" applyBorder="1" applyAlignment="1">
      <alignment horizontal="left" vertical="distributed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distributed"/>
    </xf>
    <xf numFmtId="0" fontId="0" fillId="0" borderId="17" xfId="0" applyBorder="1" applyAlignment="1"/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61" fillId="0" borderId="18" xfId="0" applyFont="1" applyFill="1" applyBorder="1" applyAlignment="1">
      <alignment horizontal="distributed" vertical="distributed"/>
    </xf>
    <xf numFmtId="0" fontId="61" fillId="0" borderId="16" xfId="0" applyFont="1" applyFill="1" applyBorder="1" applyAlignment="1">
      <alignment horizontal="distributed" vertical="distributed"/>
    </xf>
    <xf numFmtId="0" fontId="71" fillId="0" borderId="19" xfId="0" applyFont="1" applyFill="1" applyBorder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distributed"/>
    </xf>
    <xf numFmtId="0" fontId="3" fillId="0" borderId="24" xfId="0" applyFont="1" applyFill="1" applyBorder="1" applyAlignment="1">
      <alignment horizontal="left" vertical="distributed"/>
    </xf>
    <xf numFmtId="0" fontId="72" fillId="0" borderId="25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16" xfId="0" applyFont="1" applyFill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61" fillId="0" borderId="36" xfId="0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61" fillId="0" borderId="36" xfId="0" applyFont="1" applyFill="1" applyBorder="1" applyAlignment="1">
      <alignment horizontal="center" vertical="center"/>
    </xf>
    <xf numFmtId="0" fontId="61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shrinkToFi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5" xfId="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49" fontId="34" fillId="0" borderId="0" xfId="96" applyNumberFormat="1" applyFont="1" applyFill="1" applyBorder="1" applyAlignment="1">
      <alignment horizontal="distributed"/>
    </xf>
    <xf numFmtId="0" fontId="49" fillId="0" borderId="0" xfId="0" applyFont="1" applyFill="1" applyAlignment="1">
      <alignment horizontal="distributed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textRotation="255"/>
    </xf>
    <xf numFmtId="0" fontId="40" fillId="0" borderId="0" xfId="0" applyFont="1" applyFill="1" applyAlignment="1">
      <alignment horizontal="center"/>
    </xf>
    <xf numFmtId="0" fontId="8" fillId="0" borderId="0" xfId="0" applyFont="1"/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</cellXfs>
  <cellStyles count="10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6 2" xfId="10" xr:uid="{00000000-0005-0000-0000-000009000000}"/>
    <cellStyle name="20% - アクセント 6 3" xfId="11" xr:uid="{00000000-0005-0000-0000-00000A000000}"/>
    <cellStyle name="40% - アクセント 1 2" xfId="12" xr:uid="{00000000-0005-0000-0000-00000B000000}"/>
    <cellStyle name="40% - アクセント 1 3" xfId="13" xr:uid="{00000000-0005-0000-0000-00000C000000}"/>
    <cellStyle name="40% - アクセント 2 2" xfId="14" xr:uid="{00000000-0005-0000-0000-00000D000000}"/>
    <cellStyle name="40% - アクセント 3 2" xfId="15" xr:uid="{00000000-0005-0000-0000-00000E000000}"/>
    <cellStyle name="40% - アクセント 3 3" xfId="16" xr:uid="{00000000-0005-0000-0000-00000F000000}"/>
    <cellStyle name="40% - アクセント 4 2" xfId="17" xr:uid="{00000000-0005-0000-0000-000010000000}"/>
    <cellStyle name="40% - アクセント 4 3" xfId="18" xr:uid="{00000000-0005-0000-0000-000011000000}"/>
    <cellStyle name="40% - アクセント 5 2" xfId="19" xr:uid="{00000000-0005-0000-0000-000012000000}"/>
    <cellStyle name="40% - アクセント 5 3" xfId="20" xr:uid="{00000000-0005-0000-0000-000013000000}"/>
    <cellStyle name="40% - アクセント 6 2" xfId="21" xr:uid="{00000000-0005-0000-0000-000014000000}"/>
    <cellStyle name="40% - アクセント 6 3" xfId="22" xr:uid="{00000000-0005-0000-0000-000015000000}"/>
    <cellStyle name="60% - アクセント 1 2" xfId="23" xr:uid="{00000000-0005-0000-0000-000016000000}"/>
    <cellStyle name="60% - アクセント 1 3" xfId="24" xr:uid="{00000000-0005-0000-0000-000017000000}"/>
    <cellStyle name="60% - アクセント 2 2" xfId="25" xr:uid="{00000000-0005-0000-0000-000018000000}"/>
    <cellStyle name="60% - アクセント 2 3" xfId="26" xr:uid="{00000000-0005-0000-0000-000019000000}"/>
    <cellStyle name="60% - アクセント 3 2" xfId="27" xr:uid="{00000000-0005-0000-0000-00001A000000}"/>
    <cellStyle name="60% - アクセント 3 3" xfId="28" xr:uid="{00000000-0005-0000-0000-00001B000000}"/>
    <cellStyle name="60% - アクセント 4 2" xfId="29" xr:uid="{00000000-0005-0000-0000-00001C000000}"/>
    <cellStyle name="60% - アクセント 4 3" xfId="30" xr:uid="{00000000-0005-0000-0000-00001D000000}"/>
    <cellStyle name="60% - アクセント 5 2" xfId="31" xr:uid="{00000000-0005-0000-0000-00001E000000}"/>
    <cellStyle name="60% - アクセント 5 3" xfId="32" xr:uid="{00000000-0005-0000-0000-00001F000000}"/>
    <cellStyle name="60% - アクセント 6 2" xfId="33" xr:uid="{00000000-0005-0000-0000-000020000000}"/>
    <cellStyle name="60% - アクセント 6 3" xfId="34" xr:uid="{00000000-0005-0000-0000-000021000000}"/>
    <cellStyle name="アクセント 1 2" xfId="35" xr:uid="{00000000-0005-0000-0000-000022000000}"/>
    <cellStyle name="アクセント 1 3" xfId="36" xr:uid="{00000000-0005-0000-0000-000023000000}"/>
    <cellStyle name="アクセント 2 2" xfId="37" xr:uid="{00000000-0005-0000-0000-000024000000}"/>
    <cellStyle name="アクセント 2 3" xfId="38" xr:uid="{00000000-0005-0000-0000-000025000000}"/>
    <cellStyle name="アクセント 3 2" xfId="39" xr:uid="{00000000-0005-0000-0000-000026000000}"/>
    <cellStyle name="アクセント 3 3" xfId="40" xr:uid="{00000000-0005-0000-0000-000027000000}"/>
    <cellStyle name="アクセント 4 2" xfId="41" xr:uid="{00000000-0005-0000-0000-000028000000}"/>
    <cellStyle name="アクセント 4 3" xfId="42" xr:uid="{00000000-0005-0000-0000-000029000000}"/>
    <cellStyle name="アクセント 5 2" xfId="43" xr:uid="{00000000-0005-0000-0000-00002A000000}"/>
    <cellStyle name="アクセント 6 2" xfId="44" xr:uid="{00000000-0005-0000-0000-00002B000000}"/>
    <cellStyle name="アクセント 6 3" xfId="45" xr:uid="{00000000-0005-0000-0000-00002C000000}"/>
    <cellStyle name="タイトル 2" xfId="46" xr:uid="{00000000-0005-0000-0000-00002D000000}"/>
    <cellStyle name="タイトル 3" xfId="47" xr:uid="{00000000-0005-0000-0000-00002E000000}"/>
    <cellStyle name="タイトル 4" xfId="100" xr:uid="{00000000-0005-0000-0000-00002F000000}"/>
    <cellStyle name="チェック セル 2" xfId="48" xr:uid="{00000000-0005-0000-0000-000030000000}"/>
    <cellStyle name="どちらでもない 2" xfId="49" xr:uid="{00000000-0005-0000-0000-000031000000}"/>
    <cellStyle name="どちらでもない 3" xfId="50" xr:uid="{00000000-0005-0000-0000-000032000000}"/>
    <cellStyle name="メモ 2" xfId="51" xr:uid="{00000000-0005-0000-0000-000033000000}"/>
    <cellStyle name="メモ 3" xfId="52" xr:uid="{00000000-0005-0000-0000-000034000000}"/>
    <cellStyle name="リンク セル 2" xfId="53" xr:uid="{00000000-0005-0000-0000-000035000000}"/>
    <cellStyle name="リンク セル 3" xfId="54" xr:uid="{00000000-0005-0000-0000-000036000000}"/>
    <cellStyle name="悪い 2" xfId="55" xr:uid="{00000000-0005-0000-0000-000037000000}"/>
    <cellStyle name="悪い 3" xfId="56" xr:uid="{00000000-0005-0000-0000-000038000000}"/>
    <cellStyle name="計算 2" xfId="57" xr:uid="{00000000-0005-0000-0000-000039000000}"/>
    <cellStyle name="計算 3" xfId="58" xr:uid="{00000000-0005-0000-0000-00003A000000}"/>
    <cellStyle name="警告文 2" xfId="59" xr:uid="{00000000-0005-0000-0000-00003B000000}"/>
    <cellStyle name="桁区切り" xfId="60" builtinId="6"/>
    <cellStyle name="桁区切り 2" xfId="61" xr:uid="{00000000-0005-0000-0000-00003D000000}"/>
    <cellStyle name="桁区切り 2 2" xfId="62" xr:uid="{00000000-0005-0000-0000-00003E000000}"/>
    <cellStyle name="桁区切り 2 3" xfId="101" xr:uid="{00000000-0005-0000-0000-00003F000000}"/>
    <cellStyle name="桁区切り 3" xfId="63" xr:uid="{00000000-0005-0000-0000-000040000000}"/>
    <cellStyle name="桁区切り 3 2" xfId="102" xr:uid="{00000000-0005-0000-0000-000041000000}"/>
    <cellStyle name="桁区切り 4" xfId="64" xr:uid="{00000000-0005-0000-0000-000042000000}"/>
    <cellStyle name="桁区切り 5" xfId="65" xr:uid="{00000000-0005-0000-0000-000043000000}"/>
    <cellStyle name="桁区切り 6" xfId="66" xr:uid="{00000000-0005-0000-0000-000044000000}"/>
    <cellStyle name="桁区切り 7" xfId="104" xr:uid="{00000000-0005-0000-0000-000094000000}"/>
    <cellStyle name="見出し 1 2" xfId="67" xr:uid="{00000000-0005-0000-0000-000045000000}"/>
    <cellStyle name="見出し 1 3" xfId="68" xr:uid="{00000000-0005-0000-0000-000046000000}"/>
    <cellStyle name="見出し 2 2" xfId="69" xr:uid="{00000000-0005-0000-0000-000047000000}"/>
    <cellStyle name="見出し 2 3" xfId="70" xr:uid="{00000000-0005-0000-0000-000048000000}"/>
    <cellStyle name="見出し 3 2" xfId="71" xr:uid="{00000000-0005-0000-0000-000049000000}"/>
    <cellStyle name="見出し 3 3" xfId="72" xr:uid="{00000000-0005-0000-0000-00004A000000}"/>
    <cellStyle name="見出し 4 2" xfId="73" xr:uid="{00000000-0005-0000-0000-00004B000000}"/>
    <cellStyle name="見出し 4 3" xfId="74" xr:uid="{00000000-0005-0000-0000-00004C000000}"/>
    <cellStyle name="集計 2" xfId="75" xr:uid="{00000000-0005-0000-0000-00004D000000}"/>
    <cellStyle name="集計 3" xfId="76" xr:uid="{00000000-0005-0000-0000-00004E000000}"/>
    <cellStyle name="出力 2" xfId="77" xr:uid="{00000000-0005-0000-0000-00004F000000}"/>
    <cellStyle name="出力 3" xfId="78" xr:uid="{00000000-0005-0000-0000-000050000000}"/>
    <cellStyle name="説明文 2" xfId="79" xr:uid="{00000000-0005-0000-0000-000051000000}"/>
    <cellStyle name="入力 2" xfId="80" xr:uid="{00000000-0005-0000-0000-000052000000}"/>
    <cellStyle name="入力 3" xfId="81" xr:uid="{00000000-0005-0000-0000-000053000000}"/>
    <cellStyle name="標準" xfId="0" builtinId="0"/>
    <cellStyle name="標準 10" xfId="82" xr:uid="{00000000-0005-0000-0000-000055000000}"/>
    <cellStyle name="標準 11" xfId="83" xr:uid="{00000000-0005-0000-0000-000056000000}"/>
    <cellStyle name="標準 12" xfId="103" xr:uid="{00000000-0005-0000-0000-000095000000}"/>
    <cellStyle name="標準 2" xfId="84" xr:uid="{00000000-0005-0000-0000-000057000000}"/>
    <cellStyle name="標準 2 2" xfId="85" xr:uid="{00000000-0005-0000-0000-000058000000}"/>
    <cellStyle name="標準 2 3" xfId="86" xr:uid="{00000000-0005-0000-0000-000059000000}"/>
    <cellStyle name="標準 2 4" xfId="87" xr:uid="{00000000-0005-0000-0000-00005A000000}"/>
    <cellStyle name="標準 3" xfId="88" xr:uid="{00000000-0005-0000-0000-00005B000000}"/>
    <cellStyle name="標準 4" xfId="89" xr:uid="{00000000-0005-0000-0000-00005C000000}"/>
    <cellStyle name="標準 5" xfId="90" xr:uid="{00000000-0005-0000-0000-00005D000000}"/>
    <cellStyle name="標準 6" xfId="91" xr:uid="{00000000-0005-0000-0000-00005E000000}"/>
    <cellStyle name="標準 7" xfId="92" xr:uid="{00000000-0005-0000-0000-00005F000000}"/>
    <cellStyle name="標準 8" xfId="93" xr:uid="{00000000-0005-0000-0000-000060000000}"/>
    <cellStyle name="標準 9" xfId="94" xr:uid="{00000000-0005-0000-0000-000061000000}"/>
    <cellStyle name="標準_②１３年速報統計表 2" xfId="95" xr:uid="{00000000-0005-0000-0000-000062000000}"/>
    <cellStyle name="標準_③17年度メンテ（変更後様式集）17.09.12修正" xfId="105" xr:uid="{4BF36C58-9CB3-4232-85B9-F5B99ACB2B99}"/>
    <cellStyle name="標準_JB16" xfId="96" xr:uid="{00000000-0005-0000-0000-000063000000}"/>
    <cellStyle name="標準_qryＫＯＫＵＤＯＡ出力" xfId="97" xr:uid="{00000000-0005-0000-0000-000064000000}"/>
    <cellStyle name="標準_速報HG" xfId="106" xr:uid="{75B2BD8D-B0ED-4A75-A7D3-1BF83682BEA3}"/>
    <cellStyle name="良い 2" xfId="98" xr:uid="{00000000-0005-0000-0000-000065000000}"/>
    <cellStyle name="良い 3" xfId="99" xr:uid="{00000000-0005-0000-0000-00006600000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</xdr:rowOff>
    </xdr:from>
    <xdr:to>
      <xdr:col>2</xdr:col>
      <xdr:colOff>0</xdr:colOff>
      <xdr:row>4</xdr:row>
      <xdr:rowOff>0</xdr:rowOff>
    </xdr:to>
    <xdr:sp macro="" textlink="">
      <xdr:nvSpPr>
        <xdr:cNvPr id="2680" name="Line 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ShapeType="1"/>
        </xdr:cNvSpPr>
      </xdr:nvSpPr>
      <xdr:spPr bwMode="auto">
        <a:xfrm>
          <a:off x="251460" y="441960"/>
          <a:ext cx="93726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view="pageBreakPreview" zoomScale="70" zoomScaleNormal="124" zoomScaleSheetLayoutView="70" workbookViewId="0">
      <selection sqref="A1:X1"/>
    </sheetView>
  </sheetViews>
  <sheetFormatPr defaultColWidth="9" defaultRowHeight="13"/>
  <cols>
    <col min="1" max="1" width="9.08984375" style="7" customWidth="1"/>
    <col min="2" max="2" width="14.36328125" style="92" customWidth="1"/>
    <col min="3" max="3" width="10.6328125" style="92" customWidth="1"/>
    <col min="4" max="11" width="9.08984375" style="92" customWidth="1"/>
    <col min="12" max="12" width="8.6328125" style="92" customWidth="1"/>
    <col min="13" max="13" width="6" style="92" customWidth="1"/>
    <col min="14" max="15" width="6.08984375" style="92" customWidth="1"/>
    <col min="16" max="16" width="11.08984375" style="113" customWidth="1"/>
    <col min="17" max="17" width="11" style="113" customWidth="1"/>
    <col min="18" max="18" width="10.7265625" style="113" customWidth="1"/>
    <col min="19" max="19" width="12.26953125" style="113" customWidth="1"/>
    <col min="20" max="20" width="13.08984375" style="92" customWidth="1"/>
    <col min="21" max="21" width="11.08984375" style="92" customWidth="1"/>
    <col min="22" max="23" width="10.90625" style="92" customWidth="1"/>
    <col min="24" max="24" width="11.08984375" style="8" bestFit="1" customWidth="1"/>
    <col min="25" max="16384" width="9" style="7"/>
  </cols>
  <sheetData>
    <row r="1" spans="1:24" s="1" customFormat="1" ht="24.75" customHeight="1" thickBot="1">
      <c r="A1" s="333" t="s">
        <v>24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</row>
    <row r="2" spans="1:24" s="1" customFormat="1" ht="14.25" customHeight="1" thickTop="1">
      <c r="A2" s="348" t="s">
        <v>0</v>
      </c>
      <c r="B2" s="358" t="s">
        <v>280</v>
      </c>
      <c r="C2" s="354" t="s">
        <v>281</v>
      </c>
      <c r="D2" s="355"/>
      <c r="E2" s="348"/>
      <c r="F2" s="336" t="s">
        <v>282</v>
      </c>
      <c r="G2" s="336"/>
      <c r="H2" s="336"/>
      <c r="I2" s="336"/>
      <c r="J2" s="336"/>
      <c r="K2" s="336"/>
      <c r="L2" s="368" t="s">
        <v>283</v>
      </c>
      <c r="M2" s="369"/>
      <c r="N2" s="369"/>
      <c r="O2" s="370"/>
      <c r="P2" s="336" t="s">
        <v>14</v>
      </c>
      <c r="Q2" s="336"/>
      <c r="R2" s="336"/>
      <c r="S2" s="336"/>
      <c r="T2" s="336"/>
      <c r="U2" s="336"/>
      <c r="V2" s="336"/>
      <c r="W2" s="336"/>
      <c r="X2" s="354" t="s">
        <v>0</v>
      </c>
    </row>
    <row r="3" spans="1:24" s="1" customFormat="1" ht="13.5" customHeight="1">
      <c r="A3" s="349"/>
      <c r="B3" s="359"/>
      <c r="C3" s="356"/>
      <c r="D3" s="353"/>
      <c r="E3" s="349"/>
      <c r="F3" s="351" t="s">
        <v>269</v>
      </c>
      <c r="G3" s="352"/>
      <c r="H3" s="343" t="s">
        <v>1</v>
      </c>
      <c r="I3" s="352"/>
      <c r="J3" s="351" t="s">
        <v>2</v>
      </c>
      <c r="K3" s="351"/>
      <c r="L3" s="371"/>
      <c r="M3" s="372"/>
      <c r="N3" s="372"/>
      <c r="O3" s="373"/>
      <c r="P3" s="361" t="s">
        <v>277</v>
      </c>
      <c r="Q3" s="361" t="s">
        <v>276</v>
      </c>
      <c r="R3" s="377" t="s">
        <v>274</v>
      </c>
      <c r="S3" s="361" t="s">
        <v>275</v>
      </c>
      <c r="T3" s="380" t="s">
        <v>272</v>
      </c>
      <c r="U3" s="381"/>
      <c r="V3" s="381"/>
      <c r="W3" s="381"/>
      <c r="X3" s="356"/>
    </row>
    <row r="4" spans="1:24" s="1" customFormat="1" ht="13.5" customHeight="1">
      <c r="A4" s="349"/>
      <c r="B4" s="359"/>
      <c r="C4" s="344"/>
      <c r="D4" s="357"/>
      <c r="E4" s="350"/>
      <c r="F4" s="353"/>
      <c r="G4" s="349"/>
      <c r="H4" s="356"/>
      <c r="I4" s="349"/>
      <c r="J4" s="353"/>
      <c r="K4" s="353"/>
      <c r="L4" s="374"/>
      <c r="M4" s="375"/>
      <c r="N4" s="375"/>
      <c r="O4" s="376"/>
      <c r="P4" s="362"/>
      <c r="Q4" s="362"/>
      <c r="R4" s="378"/>
      <c r="S4" s="362"/>
      <c r="T4" s="385" t="s">
        <v>15</v>
      </c>
      <c r="U4" s="385" t="s">
        <v>16</v>
      </c>
      <c r="V4" s="343" t="s">
        <v>17</v>
      </c>
      <c r="W4" s="343" t="s">
        <v>18</v>
      </c>
      <c r="X4" s="356"/>
    </row>
    <row r="5" spans="1:24" s="1" customFormat="1" ht="20.25" customHeight="1">
      <c r="A5" s="350"/>
      <c r="B5" s="360"/>
      <c r="C5" s="160" t="s">
        <v>3</v>
      </c>
      <c r="D5" s="161" t="s">
        <v>4</v>
      </c>
      <c r="E5" s="161" t="s">
        <v>5</v>
      </c>
      <c r="F5" s="162"/>
      <c r="G5" s="163" t="s">
        <v>266</v>
      </c>
      <c r="H5" s="164"/>
      <c r="I5" s="161" t="s">
        <v>266</v>
      </c>
      <c r="J5" s="162"/>
      <c r="K5" s="163" t="s">
        <v>266</v>
      </c>
      <c r="L5" s="161" t="s">
        <v>6</v>
      </c>
      <c r="M5" s="163" t="s">
        <v>7</v>
      </c>
      <c r="N5" s="161" t="s">
        <v>19</v>
      </c>
      <c r="O5" s="161" t="s">
        <v>20</v>
      </c>
      <c r="P5" s="363"/>
      <c r="Q5" s="363"/>
      <c r="R5" s="379"/>
      <c r="S5" s="363"/>
      <c r="T5" s="386"/>
      <c r="U5" s="386"/>
      <c r="V5" s="344"/>
      <c r="W5" s="344"/>
      <c r="X5" s="344"/>
    </row>
    <row r="6" spans="1:24" s="1" customFormat="1" ht="22" customHeight="1">
      <c r="A6" s="2"/>
      <c r="B6" s="111" t="s">
        <v>8</v>
      </c>
      <c r="C6" s="124" t="s">
        <v>9</v>
      </c>
      <c r="D6" s="124" t="s">
        <v>9</v>
      </c>
      <c r="E6" s="125" t="s">
        <v>9</v>
      </c>
      <c r="F6" s="124" t="s">
        <v>9</v>
      </c>
      <c r="G6" s="124" t="s">
        <v>10</v>
      </c>
      <c r="H6" s="124" t="s">
        <v>9</v>
      </c>
      <c r="I6" s="124" t="s">
        <v>10</v>
      </c>
      <c r="J6" s="124" t="s">
        <v>9</v>
      </c>
      <c r="K6" s="125" t="s">
        <v>10</v>
      </c>
      <c r="L6" s="105"/>
      <c r="M6" s="106" t="s">
        <v>7</v>
      </c>
      <c r="N6" s="106" t="s">
        <v>19</v>
      </c>
      <c r="O6" s="107" t="s">
        <v>20</v>
      </c>
      <c r="P6" s="111" t="s">
        <v>21</v>
      </c>
      <c r="Q6" s="111" t="s">
        <v>278</v>
      </c>
      <c r="R6" s="111" t="s">
        <v>273</v>
      </c>
      <c r="S6" s="111" t="s">
        <v>22</v>
      </c>
      <c r="T6" s="104" t="s">
        <v>23</v>
      </c>
      <c r="U6" s="104" t="s">
        <v>23</v>
      </c>
      <c r="V6" s="104" t="s">
        <v>23</v>
      </c>
      <c r="W6" s="104" t="s">
        <v>23</v>
      </c>
      <c r="X6" s="91"/>
    </row>
    <row r="7" spans="1:24" s="89" customFormat="1" ht="18" customHeight="1">
      <c r="A7" s="3" t="s">
        <v>11</v>
      </c>
      <c r="B7" s="126">
        <v>55704949</v>
      </c>
      <c r="C7" s="127">
        <f>126146099/1000</f>
        <v>126146.099</v>
      </c>
      <c r="D7" s="127">
        <f>61349581/1000</f>
        <v>61349.580999999998</v>
      </c>
      <c r="E7" s="127">
        <f>64796518/1000</f>
        <v>64796.517999999996</v>
      </c>
      <c r="F7" s="128">
        <v>15031.602000000001</v>
      </c>
      <c r="G7" s="129">
        <v>11.916026035811065</v>
      </c>
      <c r="H7" s="130">
        <v>75087.865000000005</v>
      </c>
      <c r="I7" s="129">
        <v>59.524524020358328</v>
      </c>
      <c r="J7" s="130">
        <v>36026.631999999998</v>
      </c>
      <c r="K7" s="324">
        <v>28.559449943830607</v>
      </c>
      <c r="L7" s="128">
        <v>1718</v>
      </c>
      <c r="M7" s="131">
        <v>792</v>
      </c>
      <c r="N7" s="132">
        <v>743</v>
      </c>
      <c r="O7" s="133">
        <v>183</v>
      </c>
      <c r="P7" s="134">
        <v>1747079</v>
      </c>
      <c r="Q7" s="135">
        <v>1027892</v>
      </c>
      <c r="R7" s="134">
        <v>1058754</v>
      </c>
      <c r="S7" s="134">
        <v>2493672</v>
      </c>
      <c r="T7" s="136">
        <v>2379000</v>
      </c>
      <c r="U7" s="137">
        <v>1130000</v>
      </c>
      <c r="V7" s="138">
        <v>268100</v>
      </c>
      <c r="W7" s="139">
        <v>595100</v>
      </c>
      <c r="X7" s="100" t="s">
        <v>11</v>
      </c>
    </row>
    <row r="8" spans="1:24" s="1" customFormat="1" ht="18" customHeight="1">
      <c r="A8" s="4" t="s">
        <v>12</v>
      </c>
      <c r="B8" s="140">
        <v>2469063</v>
      </c>
      <c r="C8" s="141">
        <f>5224614/1000</f>
        <v>5224.6139999999996</v>
      </c>
      <c r="D8" s="141">
        <f>2465088/1000</f>
        <v>2465.0880000000002</v>
      </c>
      <c r="E8" s="141">
        <f>2759526/1000</f>
        <v>2759.5259999999998</v>
      </c>
      <c r="F8" s="142">
        <v>556.52599999999995</v>
      </c>
      <c r="G8" s="322">
        <v>10.652002234040639</v>
      </c>
      <c r="H8" s="143">
        <v>2988.8</v>
      </c>
      <c r="I8" s="322">
        <v>57.206140013405772</v>
      </c>
      <c r="J8" s="143">
        <v>1679.288</v>
      </c>
      <c r="K8" s="325">
        <v>32.141857752553591</v>
      </c>
      <c r="L8" s="144">
        <v>179</v>
      </c>
      <c r="M8" s="145">
        <v>35</v>
      </c>
      <c r="N8" s="96">
        <v>129</v>
      </c>
      <c r="O8" s="146">
        <v>15</v>
      </c>
      <c r="P8" s="147">
        <v>37594</v>
      </c>
      <c r="Q8" s="147">
        <v>32232</v>
      </c>
      <c r="R8" s="147">
        <v>34042</v>
      </c>
      <c r="S8" s="147">
        <v>80552</v>
      </c>
      <c r="T8" s="148">
        <v>222000</v>
      </c>
      <c r="U8" s="149">
        <v>417600</v>
      </c>
      <c r="V8" s="150">
        <v>3040</v>
      </c>
      <c r="W8" s="151">
        <v>500800</v>
      </c>
      <c r="X8" s="101" t="s">
        <v>12</v>
      </c>
    </row>
    <row r="9" spans="1:24" s="1" customFormat="1" ht="18" customHeight="1">
      <c r="A9" s="4" t="s">
        <v>25</v>
      </c>
      <c r="B9" s="140">
        <v>509649</v>
      </c>
      <c r="C9" s="141">
        <f>1237984/1000</f>
        <v>1237.9839999999999</v>
      </c>
      <c r="D9" s="141">
        <f>583402/1000</f>
        <v>583.40200000000004</v>
      </c>
      <c r="E9" s="141">
        <f>654582/1000</f>
        <v>654.58199999999999</v>
      </c>
      <c r="F9" s="142">
        <v>130.25899999999999</v>
      </c>
      <c r="G9" s="322">
        <v>10.52186457983302</v>
      </c>
      <c r="H9" s="143">
        <v>689.91</v>
      </c>
      <c r="I9" s="322">
        <v>55.728506992012818</v>
      </c>
      <c r="J9" s="143">
        <v>417.815</v>
      </c>
      <c r="K9" s="325">
        <v>33.749628428154161</v>
      </c>
      <c r="L9" s="144">
        <v>40</v>
      </c>
      <c r="M9" s="145">
        <v>10</v>
      </c>
      <c r="N9" s="96">
        <v>22</v>
      </c>
      <c r="O9" s="146">
        <v>8</v>
      </c>
      <c r="P9" s="147">
        <v>36465</v>
      </c>
      <c r="Q9" s="147">
        <v>28062</v>
      </c>
      <c r="R9" s="147">
        <v>28589</v>
      </c>
      <c r="S9" s="147">
        <v>72618</v>
      </c>
      <c r="T9" s="148">
        <v>79400</v>
      </c>
      <c r="U9" s="149">
        <v>34900</v>
      </c>
      <c r="V9" s="150">
        <v>22300</v>
      </c>
      <c r="W9" s="151">
        <v>13300</v>
      </c>
      <c r="X9" s="101" t="s">
        <v>25</v>
      </c>
    </row>
    <row r="10" spans="1:24" s="1" customFormat="1" ht="18" customHeight="1">
      <c r="A10" s="4" t="s">
        <v>26</v>
      </c>
      <c r="B10" s="140">
        <v>490828</v>
      </c>
      <c r="C10" s="141">
        <f>1210534/1000</f>
        <v>1210.5340000000001</v>
      </c>
      <c r="D10" s="141">
        <f>582952/1000</f>
        <v>582.952</v>
      </c>
      <c r="E10" s="141">
        <f>627582/1000</f>
        <v>627.58199999999999</v>
      </c>
      <c r="F10" s="142">
        <v>132.73500000000001</v>
      </c>
      <c r="G10" s="322">
        <v>10.964995613506105</v>
      </c>
      <c r="H10" s="143">
        <v>670.78399999999999</v>
      </c>
      <c r="I10" s="322">
        <v>55.412239557088029</v>
      </c>
      <c r="J10" s="143">
        <v>407.01499999999999</v>
      </c>
      <c r="K10" s="325">
        <v>33.622764829405867</v>
      </c>
      <c r="L10" s="144">
        <v>33</v>
      </c>
      <c r="M10" s="145">
        <v>14</v>
      </c>
      <c r="N10" s="96">
        <v>15</v>
      </c>
      <c r="O10" s="146">
        <v>4</v>
      </c>
      <c r="P10" s="147">
        <v>52688</v>
      </c>
      <c r="Q10" s="147">
        <v>33861</v>
      </c>
      <c r="R10" s="147">
        <v>34598</v>
      </c>
      <c r="S10" s="147">
        <v>88578</v>
      </c>
      <c r="T10" s="148">
        <v>94000</v>
      </c>
      <c r="U10" s="149">
        <v>24800</v>
      </c>
      <c r="V10" s="150">
        <v>3530</v>
      </c>
      <c r="W10" s="151">
        <v>27200</v>
      </c>
      <c r="X10" s="101" t="s">
        <v>26</v>
      </c>
    </row>
    <row r="11" spans="1:24" s="1" customFormat="1" ht="18" customHeight="1">
      <c r="A11" s="4" t="s">
        <v>27</v>
      </c>
      <c r="B11" s="140">
        <v>980549</v>
      </c>
      <c r="C11" s="141">
        <f>2301996/1000</f>
        <v>2301.9960000000001</v>
      </c>
      <c r="D11" s="141">
        <f>1122598/1000</f>
        <v>1122.598</v>
      </c>
      <c r="E11" s="141">
        <f>1179398/1000</f>
        <v>1179.3979999999999</v>
      </c>
      <c r="F11" s="142">
        <v>268.93099999999998</v>
      </c>
      <c r="G11" s="322">
        <v>11.682513783690327</v>
      </c>
      <c r="H11" s="143">
        <v>1385.425</v>
      </c>
      <c r="I11" s="322">
        <v>60.183640631869039</v>
      </c>
      <c r="J11" s="143">
        <v>647.64</v>
      </c>
      <c r="K11" s="325">
        <v>28.133845584440632</v>
      </c>
      <c r="L11" s="144">
        <v>35</v>
      </c>
      <c r="M11" s="145">
        <v>14</v>
      </c>
      <c r="N11" s="96">
        <v>20</v>
      </c>
      <c r="O11" s="146">
        <v>1</v>
      </c>
      <c r="P11" s="147">
        <v>41509</v>
      </c>
      <c r="Q11" s="147">
        <v>28632</v>
      </c>
      <c r="R11" s="147">
        <v>29614</v>
      </c>
      <c r="S11" s="147">
        <v>75069</v>
      </c>
      <c r="T11" s="148">
        <v>103700</v>
      </c>
      <c r="U11" s="149">
        <v>15200</v>
      </c>
      <c r="V11" s="150">
        <v>1170</v>
      </c>
      <c r="W11" s="151">
        <v>5720</v>
      </c>
      <c r="X11" s="101" t="s">
        <v>27</v>
      </c>
    </row>
    <row r="12" spans="1:24" s="1" customFormat="1" ht="18" customHeight="1">
      <c r="A12" s="4" t="s">
        <v>28</v>
      </c>
      <c r="B12" s="140">
        <v>383531</v>
      </c>
      <c r="C12" s="141">
        <f>959502/1000</f>
        <v>959.50199999999995</v>
      </c>
      <c r="D12" s="141">
        <f>452439/1000</f>
        <v>452.43900000000002</v>
      </c>
      <c r="E12" s="141">
        <f>507063/1000</f>
        <v>507.06299999999999</v>
      </c>
      <c r="F12" s="142">
        <v>92.855000000000004</v>
      </c>
      <c r="G12" s="322">
        <v>9.6774159928796397</v>
      </c>
      <c r="H12" s="143">
        <v>506.96</v>
      </c>
      <c r="I12" s="322">
        <v>52.835741874430695</v>
      </c>
      <c r="J12" s="143">
        <v>359.68700000000001</v>
      </c>
      <c r="K12" s="325">
        <v>37.486842132689667</v>
      </c>
      <c r="L12" s="144">
        <v>25</v>
      </c>
      <c r="M12" s="145">
        <v>13</v>
      </c>
      <c r="N12" s="96">
        <v>9</v>
      </c>
      <c r="O12" s="146">
        <v>3</v>
      </c>
      <c r="P12" s="147">
        <v>37116</v>
      </c>
      <c r="Q12" s="147">
        <v>27780</v>
      </c>
      <c r="R12" s="147">
        <v>28610</v>
      </c>
      <c r="S12" s="147">
        <v>69738</v>
      </c>
      <c r="T12" s="148">
        <v>128700</v>
      </c>
      <c r="U12" s="149">
        <v>11800</v>
      </c>
      <c r="V12" s="150">
        <v>2290</v>
      </c>
      <c r="W12" s="151">
        <v>3990</v>
      </c>
      <c r="X12" s="101" t="s">
        <v>28</v>
      </c>
    </row>
    <row r="13" spans="1:24" s="1" customFormat="1" ht="18" customHeight="1">
      <c r="A13" s="4" t="s">
        <v>29</v>
      </c>
      <c r="B13" s="140">
        <v>396792</v>
      </c>
      <c r="C13" s="141">
        <f>1068027/1000</f>
        <v>1068.027</v>
      </c>
      <c r="D13" s="141">
        <f>516438/1000</f>
        <v>516.43799999999999</v>
      </c>
      <c r="E13" s="141">
        <f>551589/1000</f>
        <v>551.58900000000006</v>
      </c>
      <c r="F13" s="142">
        <v>120.271</v>
      </c>
      <c r="G13" s="322">
        <v>11.261044898677655</v>
      </c>
      <c r="H13" s="143">
        <v>586.57799999999997</v>
      </c>
      <c r="I13" s="322">
        <v>54.921645239305747</v>
      </c>
      <c r="J13" s="143">
        <v>361.178</v>
      </c>
      <c r="K13" s="325">
        <v>33.8173098620166</v>
      </c>
      <c r="L13" s="144">
        <v>35</v>
      </c>
      <c r="M13" s="145">
        <v>13</v>
      </c>
      <c r="N13" s="96">
        <v>19</v>
      </c>
      <c r="O13" s="146">
        <v>3</v>
      </c>
      <c r="P13" s="147">
        <v>39628</v>
      </c>
      <c r="Q13" s="147">
        <v>26796</v>
      </c>
      <c r="R13" s="147">
        <v>27863</v>
      </c>
      <c r="S13" s="147">
        <v>70575</v>
      </c>
      <c r="T13" s="148">
        <v>92200</v>
      </c>
      <c r="U13" s="149">
        <v>12200</v>
      </c>
      <c r="V13" s="150">
        <v>10300</v>
      </c>
      <c r="W13" s="151">
        <v>2200</v>
      </c>
      <c r="X13" s="101" t="s">
        <v>29</v>
      </c>
    </row>
    <row r="14" spans="1:24" s="1" customFormat="1" ht="18" customHeight="1">
      <c r="A14" s="4" t="s">
        <v>30</v>
      </c>
      <c r="B14" s="140">
        <v>740089</v>
      </c>
      <c r="C14" s="141">
        <f>1833152/1000</f>
        <v>1833.152</v>
      </c>
      <c r="D14" s="141">
        <f>903864/1000</f>
        <v>903.86400000000003</v>
      </c>
      <c r="E14" s="141">
        <f>929288/1000</f>
        <v>929.28800000000001</v>
      </c>
      <c r="F14" s="142">
        <v>206.99299999999999</v>
      </c>
      <c r="G14" s="322">
        <v>11.291644118981949</v>
      </c>
      <c r="H14" s="143">
        <v>1045.8869999999999</v>
      </c>
      <c r="I14" s="322">
        <v>57.054024979925288</v>
      </c>
      <c r="J14" s="143">
        <v>580.27200000000005</v>
      </c>
      <c r="K14" s="325">
        <v>31.654330901092763</v>
      </c>
      <c r="L14" s="144">
        <v>59</v>
      </c>
      <c r="M14" s="145">
        <v>13</v>
      </c>
      <c r="N14" s="96">
        <v>31</v>
      </c>
      <c r="O14" s="146">
        <v>15</v>
      </c>
      <c r="P14" s="147">
        <v>62673</v>
      </c>
      <c r="Q14" s="147">
        <v>41060</v>
      </c>
      <c r="R14" s="147">
        <v>41557</v>
      </c>
      <c r="S14" s="147">
        <v>106728</v>
      </c>
      <c r="T14" s="148">
        <v>97900</v>
      </c>
      <c r="U14" s="149">
        <v>29100</v>
      </c>
      <c r="V14" s="150">
        <v>6570</v>
      </c>
      <c r="W14" s="151">
        <v>4820</v>
      </c>
      <c r="X14" s="101" t="s">
        <v>30</v>
      </c>
    </row>
    <row r="15" spans="1:24" s="1" customFormat="1" ht="18" customHeight="1">
      <c r="A15" s="4" t="s">
        <v>31</v>
      </c>
      <c r="B15" s="140">
        <v>1181598</v>
      </c>
      <c r="C15" s="141">
        <f>2867009/1000</f>
        <v>2867.009</v>
      </c>
      <c r="D15" s="141">
        <f>1430976/1000</f>
        <v>1430.9760000000001</v>
      </c>
      <c r="E15" s="141">
        <f>1436033/1000</f>
        <v>1436.0329999999999</v>
      </c>
      <c r="F15" s="142">
        <v>334.61399999999998</v>
      </c>
      <c r="G15" s="322">
        <v>11.671187638406437</v>
      </c>
      <c r="H15" s="143">
        <v>1681.662</v>
      </c>
      <c r="I15" s="322">
        <v>58.655623334283227</v>
      </c>
      <c r="J15" s="143">
        <v>850.73299999999995</v>
      </c>
      <c r="K15" s="325">
        <v>29.673189027310343</v>
      </c>
      <c r="L15" s="144">
        <v>44</v>
      </c>
      <c r="M15" s="145">
        <v>32</v>
      </c>
      <c r="N15" s="96">
        <v>10</v>
      </c>
      <c r="O15" s="146">
        <v>2</v>
      </c>
      <c r="P15" s="147">
        <v>71761</v>
      </c>
      <c r="Q15" s="147">
        <v>43920</v>
      </c>
      <c r="R15" s="147">
        <v>44236</v>
      </c>
      <c r="S15" s="147">
        <v>104547</v>
      </c>
      <c r="T15" s="148">
        <v>96100</v>
      </c>
      <c r="U15" s="149">
        <v>61100</v>
      </c>
      <c r="V15" s="150">
        <v>6090</v>
      </c>
      <c r="W15" s="151">
        <v>379</v>
      </c>
      <c r="X15" s="101" t="s">
        <v>31</v>
      </c>
    </row>
    <row r="16" spans="1:24" s="1" customFormat="1" ht="18" customHeight="1">
      <c r="A16" s="4" t="s">
        <v>32</v>
      </c>
      <c r="B16" s="140">
        <v>795449</v>
      </c>
      <c r="C16" s="141">
        <f>1933146/1000</f>
        <v>1933.146</v>
      </c>
      <c r="D16" s="141">
        <f>964930/1000</f>
        <v>964.93</v>
      </c>
      <c r="E16" s="141">
        <f>968216/1000</f>
        <v>968.21600000000001</v>
      </c>
      <c r="F16" s="142">
        <v>228.22399999999999</v>
      </c>
      <c r="G16" s="322">
        <v>11.805833599738458</v>
      </c>
      <c r="H16" s="143">
        <v>1142.7059999999999</v>
      </c>
      <c r="I16" s="322">
        <v>59.111210431079698</v>
      </c>
      <c r="J16" s="143">
        <v>562.21600000000001</v>
      </c>
      <c r="K16" s="325">
        <v>29.082955969181839</v>
      </c>
      <c r="L16" s="144">
        <v>25</v>
      </c>
      <c r="M16" s="145">
        <v>14</v>
      </c>
      <c r="N16" s="96">
        <v>11</v>
      </c>
      <c r="O16" s="107" t="s">
        <v>264</v>
      </c>
      <c r="P16" s="147">
        <v>46202</v>
      </c>
      <c r="Q16" s="147">
        <v>31993</v>
      </c>
      <c r="R16" s="147">
        <v>32506</v>
      </c>
      <c r="S16" s="147">
        <v>80171</v>
      </c>
      <c r="T16" s="148">
        <v>95500</v>
      </c>
      <c r="U16" s="149">
        <v>22000</v>
      </c>
      <c r="V16" s="150">
        <v>2130</v>
      </c>
      <c r="W16" s="151">
        <v>2480</v>
      </c>
      <c r="X16" s="101" t="s">
        <v>32</v>
      </c>
    </row>
    <row r="17" spans="1:24" s="1" customFormat="1" ht="18" customHeight="1">
      <c r="A17" s="4" t="s">
        <v>33</v>
      </c>
      <c r="B17" s="140">
        <v>803215</v>
      </c>
      <c r="C17" s="141">
        <f>1939110/1000</f>
        <v>1939.11</v>
      </c>
      <c r="D17" s="141">
        <f>959411/1000</f>
        <v>959.41099999999994</v>
      </c>
      <c r="E17" s="141">
        <f>979699/1000</f>
        <v>979.69899999999996</v>
      </c>
      <c r="F17" s="142">
        <v>226.57300000000001</v>
      </c>
      <c r="G17" s="322">
        <v>11.684380978902691</v>
      </c>
      <c r="H17" s="143">
        <v>1127.799</v>
      </c>
      <c r="I17" s="322">
        <v>58.160651020313445</v>
      </c>
      <c r="J17" s="143">
        <v>584.73800000000006</v>
      </c>
      <c r="K17" s="325">
        <v>30.154968000783867</v>
      </c>
      <c r="L17" s="144">
        <v>35</v>
      </c>
      <c r="M17" s="145">
        <v>12</v>
      </c>
      <c r="N17" s="96">
        <v>15</v>
      </c>
      <c r="O17" s="146">
        <v>8</v>
      </c>
      <c r="P17" s="147">
        <v>42275</v>
      </c>
      <c r="Q17" s="147">
        <v>19405</v>
      </c>
      <c r="R17" s="147">
        <v>19694</v>
      </c>
      <c r="S17" s="147">
        <v>43669</v>
      </c>
      <c r="T17" s="148">
        <v>25300</v>
      </c>
      <c r="U17" s="149">
        <v>37400</v>
      </c>
      <c r="V17" s="150">
        <v>2930</v>
      </c>
      <c r="W17" s="151">
        <v>1190</v>
      </c>
      <c r="X17" s="101" t="s">
        <v>33</v>
      </c>
    </row>
    <row r="18" spans="1:24" s="1" customFormat="1" ht="18" customHeight="1">
      <c r="A18" s="4" t="s">
        <v>34</v>
      </c>
      <c r="B18" s="140">
        <v>3157627</v>
      </c>
      <c r="C18" s="141">
        <f>7344765/1000</f>
        <v>7344.7650000000003</v>
      </c>
      <c r="D18" s="141">
        <f>3652169/1000</f>
        <v>3652.1689999999999</v>
      </c>
      <c r="E18" s="141">
        <f>3692596/1000</f>
        <v>3692.596</v>
      </c>
      <c r="F18" s="142">
        <v>872.85900000000004</v>
      </c>
      <c r="G18" s="322">
        <v>11.884097040545205</v>
      </c>
      <c r="H18" s="143">
        <v>4488.13</v>
      </c>
      <c r="I18" s="322">
        <v>61.106516001533059</v>
      </c>
      <c r="J18" s="143">
        <v>1983.7760000000001</v>
      </c>
      <c r="K18" s="325">
        <v>27.009386957921734</v>
      </c>
      <c r="L18" s="144">
        <v>63</v>
      </c>
      <c r="M18" s="145">
        <v>40</v>
      </c>
      <c r="N18" s="96">
        <v>22</v>
      </c>
      <c r="O18" s="146">
        <v>1</v>
      </c>
      <c r="P18" s="147">
        <v>46463</v>
      </c>
      <c r="Q18" s="147">
        <v>27588</v>
      </c>
      <c r="R18" s="147">
        <v>28112</v>
      </c>
      <c r="S18" s="147">
        <v>65073</v>
      </c>
      <c r="T18" s="148">
        <v>41100</v>
      </c>
      <c r="U18" s="149">
        <v>30100</v>
      </c>
      <c r="V18" s="150">
        <v>2830</v>
      </c>
      <c r="W18" s="151">
        <v>68</v>
      </c>
      <c r="X18" s="101" t="s">
        <v>34</v>
      </c>
    </row>
    <row r="19" spans="1:24" s="1" customFormat="1" ht="18" customHeight="1">
      <c r="A19" s="4" t="s">
        <v>35</v>
      </c>
      <c r="B19" s="140">
        <v>2767661</v>
      </c>
      <c r="C19" s="141">
        <f>6284480/1000</f>
        <v>6284.48</v>
      </c>
      <c r="D19" s="141">
        <f>3117987/1000</f>
        <v>3117.9870000000001</v>
      </c>
      <c r="E19" s="141">
        <f>3166493/1000</f>
        <v>3166.4929999999999</v>
      </c>
      <c r="F19" s="142">
        <v>736.62300000000005</v>
      </c>
      <c r="G19" s="322">
        <v>11.721303910586078</v>
      </c>
      <c r="H19" s="143">
        <v>3813.9870000000001</v>
      </c>
      <c r="I19" s="322">
        <v>60.688983018483633</v>
      </c>
      <c r="J19" s="143">
        <v>1733.87</v>
      </c>
      <c r="K19" s="325">
        <v>27.589713070930294</v>
      </c>
      <c r="L19" s="144">
        <v>54</v>
      </c>
      <c r="M19" s="145">
        <v>37</v>
      </c>
      <c r="N19" s="96">
        <v>16</v>
      </c>
      <c r="O19" s="146">
        <v>1</v>
      </c>
      <c r="P19" s="147">
        <v>50826</v>
      </c>
      <c r="Q19" s="147">
        <v>34261</v>
      </c>
      <c r="R19" s="147">
        <v>34544</v>
      </c>
      <c r="S19" s="147">
        <v>83894</v>
      </c>
      <c r="T19" s="148">
        <v>73000</v>
      </c>
      <c r="U19" s="149">
        <v>47000</v>
      </c>
      <c r="V19" s="150">
        <v>3060</v>
      </c>
      <c r="W19" s="151">
        <v>425</v>
      </c>
      <c r="X19" s="101" t="s">
        <v>35</v>
      </c>
    </row>
    <row r="20" spans="1:24" s="1" customFormat="1" ht="18" customHeight="1">
      <c r="A20" s="4" t="s">
        <v>44</v>
      </c>
      <c r="B20" s="140">
        <v>7216650</v>
      </c>
      <c r="C20" s="141">
        <f>14047594/1000</f>
        <v>14047.593999999999</v>
      </c>
      <c r="D20" s="141">
        <f>6898388/1000</f>
        <v>6898.3879999999999</v>
      </c>
      <c r="E20" s="141">
        <f>7149206/1000</f>
        <v>7149.2060000000001</v>
      </c>
      <c r="F20" s="142">
        <v>1568.415</v>
      </c>
      <c r="G20" s="322">
        <v>11.165008043370275</v>
      </c>
      <c r="H20" s="143">
        <v>9284.4279999999999</v>
      </c>
      <c r="I20" s="322">
        <v>66.092656151651312</v>
      </c>
      <c r="J20" s="143">
        <v>3194.7510000000002</v>
      </c>
      <c r="K20" s="325">
        <v>22.742335804978421</v>
      </c>
      <c r="L20" s="144">
        <v>39</v>
      </c>
      <c r="M20" s="145">
        <v>26</v>
      </c>
      <c r="N20" s="96">
        <v>5</v>
      </c>
      <c r="O20" s="146">
        <v>8</v>
      </c>
      <c r="P20" s="147">
        <v>9567</v>
      </c>
      <c r="Q20" s="147">
        <v>4606</v>
      </c>
      <c r="R20" s="147">
        <v>5096</v>
      </c>
      <c r="S20" s="147">
        <v>12416</v>
      </c>
      <c r="T20" s="148">
        <v>228</v>
      </c>
      <c r="U20" s="149">
        <v>4750</v>
      </c>
      <c r="V20" s="150">
        <v>1490</v>
      </c>
      <c r="W20" s="151">
        <v>62</v>
      </c>
      <c r="X20" s="101" t="s">
        <v>44</v>
      </c>
    </row>
    <row r="21" spans="1:24" s="1" customFormat="1" ht="18" customHeight="1">
      <c r="A21" s="4" t="s">
        <v>36</v>
      </c>
      <c r="B21" s="140">
        <v>4210122</v>
      </c>
      <c r="C21" s="141">
        <f>9237337/1000</f>
        <v>9237.3369999999995</v>
      </c>
      <c r="D21" s="141">
        <f>4588268/1000</f>
        <v>4588.268</v>
      </c>
      <c r="E21" s="141">
        <f>4649069/1000</f>
        <v>4649.0690000000004</v>
      </c>
      <c r="F21" s="142">
        <v>1086.4680000000001</v>
      </c>
      <c r="G21" s="322">
        <v>11.761701451403148</v>
      </c>
      <c r="H21" s="143">
        <v>5790.049</v>
      </c>
      <c r="I21" s="322">
        <v>62.680932827285616</v>
      </c>
      <c r="J21" s="143">
        <v>2360.8200000000002</v>
      </c>
      <c r="K21" s="325">
        <v>25.557365721311236</v>
      </c>
      <c r="L21" s="144">
        <v>33</v>
      </c>
      <c r="M21" s="145">
        <v>19</v>
      </c>
      <c r="N21" s="96">
        <v>13</v>
      </c>
      <c r="O21" s="146">
        <v>1</v>
      </c>
      <c r="P21" s="147">
        <v>21290</v>
      </c>
      <c r="Q21" s="147">
        <v>10479</v>
      </c>
      <c r="R21" s="147">
        <v>11234</v>
      </c>
      <c r="S21" s="147">
        <v>27140</v>
      </c>
      <c r="T21" s="148">
        <v>3610</v>
      </c>
      <c r="U21" s="149">
        <v>11400</v>
      </c>
      <c r="V21" s="150">
        <v>3450</v>
      </c>
      <c r="W21" s="152" t="s">
        <v>270</v>
      </c>
      <c r="X21" s="101" t="s">
        <v>36</v>
      </c>
    </row>
    <row r="22" spans="1:24" s="1" customFormat="1" ht="18" customHeight="1">
      <c r="A22" s="4" t="s">
        <v>37</v>
      </c>
      <c r="B22" s="140">
        <v>862796</v>
      </c>
      <c r="C22" s="141">
        <f>2201272/1000</f>
        <v>2201.2719999999999</v>
      </c>
      <c r="D22" s="141">
        <f>1068670/1000</f>
        <v>1068.67</v>
      </c>
      <c r="E22" s="141">
        <f>1132602/1000</f>
        <v>1132.6020000000001</v>
      </c>
      <c r="F22" s="142">
        <v>247.92400000000001</v>
      </c>
      <c r="G22" s="322">
        <v>11.262760803753466</v>
      </c>
      <c r="H22" s="143">
        <v>1232.07</v>
      </c>
      <c r="I22" s="322">
        <v>55.970820507415709</v>
      </c>
      <c r="J22" s="143">
        <v>721.27800000000002</v>
      </c>
      <c r="K22" s="325">
        <v>32.766418688830825</v>
      </c>
      <c r="L22" s="144">
        <v>30</v>
      </c>
      <c r="M22" s="145">
        <v>20</v>
      </c>
      <c r="N22" s="96">
        <v>6</v>
      </c>
      <c r="O22" s="146">
        <v>4</v>
      </c>
      <c r="P22" s="147">
        <v>62556</v>
      </c>
      <c r="Q22" s="147">
        <v>41751</v>
      </c>
      <c r="R22" s="147">
        <v>42992</v>
      </c>
      <c r="S22" s="147">
        <v>107016</v>
      </c>
      <c r="T22" s="148">
        <v>150100</v>
      </c>
      <c r="U22" s="149">
        <v>16000</v>
      </c>
      <c r="V22" s="150">
        <v>2150</v>
      </c>
      <c r="W22" s="151">
        <v>798</v>
      </c>
      <c r="X22" s="101" t="s">
        <v>37</v>
      </c>
    </row>
    <row r="23" spans="1:24" s="1" customFormat="1" ht="18" customHeight="1">
      <c r="A23" s="4" t="s">
        <v>38</v>
      </c>
      <c r="B23" s="140">
        <v>403007</v>
      </c>
      <c r="C23" s="141">
        <f>1034814/1000</f>
        <v>1034.8140000000001</v>
      </c>
      <c r="D23" s="141">
        <f>502637/1000</f>
        <v>502.637</v>
      </c>
      <c r="E23" s="141">
        <f>532177/1000</f>
        <v>532.17700000000002</v>
      </c>
      <c r="F23" s="142">
        <v>116.346</v>
      </c>
      <c r="G23" s="322">
        <v>11.243179933785202</v>
      </c>
      <c r="H23" s="143">
        <v>581.61699999999996</v>
      </c>
      <c r="I23" s="322">
        <v>56.204979832124423</v>
      </c>
      <c r="J23" s="143">
        <v>336.851</v>
      </c>
      <c r="K23" s="325">
        <v>32.551840234090378</v>
      </c>
      <c r="L23" s="144">
        <v>15</v>
      </c>
      <c r="M23" s="145">
        <v>10</v>
      </c>
      <c r="N23" s="96">
        <v>4</v>
      </c>
      <c r="O23" s="146">
        <v>1</v>
      </c>
      <c r="P23" s="147">
        <v>17314</v>
      </c>
      <c r="Q23" s="147">
        <v>11323</v>
      </c>
      <c r="R23" s="147">
        <v>12215</v>
      </c>
      <c r="S23" s="147">
        <v>29251</v>
      </c>
      <c r="T23" s="148">
        <v>55500</v>
      </c>
      <c r="U23" s="149">
        <v>1750</v>
      </c>
      <c r="V23" s="150">
        <v>721</v>
      </c>
      <c r="W23" s="151">
        <v>222</v>
      </c>
      <c r="X23" s="101" t="s">
        <v>38</v>
      </c>
    </row>
    <row r="24" spans="1:24" s="1" customFormat="1" ht="18" customHeight="1">
      <c r="A24" s="4" t="s">
        <v>39</v>
      </c>
      <c r="B24" s="140">
        <v>468835</v>
      </c>
      <c r="C24" s="141">
        <f>1132526/1000</f>
        <v>1132.5260000000001</v>
      </c>
      <c r="D24" s="141">
        <f>549771/1000</f>
        <v>549.77099999999996</v>
      </c>
      <c r="E24" s="141">
        <f>582755/1000</f>
        <v>582.755</v>
      </c>
      <c r="F24" s="142">
        <v>137.36500000000001</v>
      </c>
      <c r="G24" s="322">
        <v>12.129081363253471</v>
      </c>
      <c r="H24" s="143">
        <v>657.99</v>
      </c>
      <c r="I24" s="322">
        <v>58.099328403939509</v>
      </c>
      <c r="J24" s="143">
        <v>337.17099999999999</v>
      </c>
      <c r="K24" s="325">
        <v>29.771590232807014</v>
      </c>
      <c r="L24" s="144">
        <v>19</v>
      </c>
      <c r="M24" s="145">
        <v>11</v>
      </c>
      <c r="N24" s="96">
        <v>8</v>
      </c>
      <c r="O24" s="107" t="s">
        <v>264</v>
      </c>
      <c r="P24" s="147">
        <v>15874</v>
      </c>
      <c r="Q24" s="147">
        <v>9263</v>
      </c>
      <c r="R24" s="147">
        <v>9774</v>
      </c>
      <c r="S24" s="147">
        <v>22402</v>
      </c>
      <c r="T24" s="148">
        <v>33900</v>
      </c>
      <c r="U24" s="149">
        <v>5110</v>
      </c>
      <c r="V24" s="150">
        <v>1260</v>
      </c>
      <c r="W24" s="151">
        <v>503</v>
      </c>
      <c r="X24" s="101" t="s">
        <v>39</v>
      </c>
    </row>
    <row r="25" spans="1:24" s="1" customFormat="1" ht="18" customHeight="1">
      <c r="A25" s="4" t="s">
        <v>40</v>
      </c>
      <c r="B25" s="140">
        <v>290692</v>
      </c>
      <c r="C25" s="141">
        <f>766863/1000</f>
        <v>766.86300000000006</v>
      </c>
      <c r="D25" s="141">
        <f>373973/1000</f>
        <v>373.97300000000001</v>
      </c>
      <c r="E25" s="141">
        <f>392890/1000</f>
        <v>392.89</v>
      </c>
      <c r="F25" s="142">
        <v>95.808999999999997</v>
      </c>
      <c r="G25" s="322">
        <v>12.49362663213638</v>
      </c>
      <c r="H25" s="143">
        <v>436.12099999999998</v>
      </c>
      <c r="I25" s="322">
        <v>56.870783960107609</v>
      </c>
      <c r="J25" s="143">
        <v>234.93299999999999</v>
      </c>
      <c r="K25" s="325">
        <v>30.635589407756015</v>
      </c>
      <c r="L25" s="144">
        <v>17</v>
      </c>
      <c r="M25" s="145">
        <v>9</v>
      </c>
      <c r="N25" s="96">
        <v>8</v>
      </c>
      <c r="O25" s="107" t="s">
        <v>265</v>
      </c>
      <c r="P25" s="147">
        <v>16058</v>
      </c>
      <c r="Q25" s="147">
        <v>9777</v>
      </c>
      <c r="R25" s="147">
        <v>10434</v>
      </c>
      <c r="S25" s="147">
        <v>24673</v>
      </c>
      <c r="T25" s="148">
        <v>36300</v>
      </c>
      <c r="U25" s="149">
        <v>2690</v>
      </c>
      <c r="V25" s="150">
        <v>753</v>
      </c>
      <c r="W25" s="151">
        <v>267</v>
      </c>
      <c r="X25" s="101" t="s">
        <v>40</v>
      </c>
    </row>
    <row r="26" spans="1:24" s="1" customFormat="1" ht="18" customHeight="1">
      <c r="A26" s="4" t="s">
        <v>41</v>
      </c>
      <c r="B26" s="140">
        <v>338057</v>
      </c>
      <c r="C26" s="141">
        <f>809974/1000</f>
        <v>809.97400000000005</v>
      </c>
      <c r="D26" s="141">
        <f>397309/1000</f>
        <v>397.30900000000003</v>
      </c>
      <c r="E26" s="141">
        <f>412665/1000</f>
        <v>412.66500000000002</v>
      </c>
      <c r="F26" s="142">
        <v>92.722999999999999</v>
      </c>
      <c r="G26" s="322">
        <v>11.447651406094517</v>
      </c>
      <c r="H26" s="143">
        <v>467.44299999999998</v>
      </c>
      <c r="I26" s="322">
        <v>57.710864793190893</v>
      </c>
      <c r="J26" s="143">
        <v>249.80799999999999</v>
      </c>
      <c r="K26" s="325">
        <v>30.841483800714592</v>
      </c>
      <c r="L26" s="144">
        <v>27</v>
      </c>
      <c r="M26" s="145">
        <v>13</v>
      </c>
      <c r="N26" s="96">
        <v>8</v>
      </c>
      <c r="O26" s="146">
        <v>6</v>
      </c>
      <c r="P26" s="147">
        <v>27986</v>
      </c>
      <c r="Q26" s="147">
        <v>14178</v>
      </c>
      <c r="R26" s="147">
        <v>14920</v>
      </c>
      <c r="S26" s="147">
        <v>33076</v>
      </c>
      <c r="T26" s="148">
        <v>7750</v>
      </c>
      <c r="U26" s="149">
        <v>4800</v>
      </c>
      <c r="V26" s="150">
        <v>10000</v>
      </c>
      <c r="W26" s="151">
        <v>857</v>
      </c>
      <c r="X26" s="101" t="s">
        <v>41</v>
      </c>
    </row>
    <row r="27" spans="1:24" s="1" customFormat="1" ht="18" customHeight="1">
      <c r="A27" s="4" t="s">
        <v>42</v>
      </c>
      <c r="B27" s="140">
        <v>829979</v>
      </c>
      <c r="C27" s="141">
        <f>2048011/1000</f>
        <v>2048.011</v>
      </c>
      <c r="D27" s="141">
        <f>1000389/1000</f>
        <v>1000.389</v>
      </c>
      <c r="E27" s="141">
        <f>1047622/1000</f>
        <v>1047.6220000000001</v>
      </c>
      <c r="F27" s="142">
        <v>245.285</v>
      </c>
      <c r="G27" s="322">
        <v>11.976742312419221</v>
      </c>
      <c r="H27" s="143">
        <v>1148.164</v>
      </c>
      <c r="I27" s="322">
        <v>56.06239419612492</v>
      </c>
      <c r="J27" s="143">
        <v>654.56200000000001</v>
      </c>
      <c r="K27" s="325">
        <v>31.960863491455854</v>
      </c>
      <c r="L27" s="144">
        <v>77</v>
      </c>
      <c r="M27" s="145">
        <v>19</v>
      </c>
      <c r="N27" s="96">
        <v>23</v>
      </c>
      <c r="O27" s="146">
        <v>35</v>
      </c>
      <c r="P27" s="147">
        <v>89786</v>
      </c>
      <c r="Q27" s="147">
        <v>40510</v>
      </c>
      <c r="R27" s="147">
        <v>42039</v>
      </c>
      <c r="S27" s="147">
        <v>102706</v>
      </c>
      <c r="T27" s="148">
        <v>51900</v>
      </c>
      <c r="U27" s="149">
        <v>35400</v>
      </c>
      <c r="V27" s="150">
        <v>14800</v>
      </c>
      <c r="W27" s="151">
        <v>3220</v>
      </c>
      <c r="X27" s="101" t="s">
        <v>42</v>
      </c>
    </row>
    <row r="28" spans="1:24" s="1" customFormat="1" ht="18" customHeight="1">
      <c r="A28" s="4" t="s">
        <v>43</v>
      </c>
      <c r="B28" s="140">
        <v>779029</v>
      </c>
      <c r="C28" s="141">
        <f>1978742/1000</f>
        <v>1978.742</v>
      </c>
      <c r="D28" s="141">
        <f>960436/1000</f>
        <v>960.43600000000004</v>
      </c>
      <c r="E28" s="141">
        <f>1018306/1000</f>
        <v>1018.306</v>
      </c>
      <c r="F28" s="142">
        <v>242.50399999999999</v>
      </c>
      <c r="G28" s="322">
        <v>12.255463319624287</v>
      </c>
      <c r="H28" s="143">
        <v>1133.8720000000001</v>
      </c>
      <c r="I28" s="322">
        <v>57.302670080283335</v>
      </c>
      <c r="J28" s="143">
        <v>602.36599999999999</v>
      </c>
      <c r="K28" s="325">
        <v>30.441866600092382</v>
      </c>
      <c r="L28" s="144">
        <v>42</v>
      </c>
      <c r="M28" s="145">
        <v>21</v>
      </c>
      <c r="N28" s="96">
        <v>19</v>
      </c>
      <c r="O28" s="146">
        <v>2</v>
      </c>
      <c r="P28" s="147">
        <v>48936</v>
      </c>
      <c r="Q28" s="147">
        <v>19924</v>
      </c>
      <c r="R28" s="147">
        <v>20783</v>
      </c>
      <c r="S28" s="147">
        <v>49003</v>
      </c>
      <c r="T28" s="148">
        <v>42500</v>
      </c>
      <c r="U28" s="149">
        <v>8830</v>
      </c>
      <c r="V28" s="150">
        <v>3010</v>
      </c>
      <c r="W28" s="151">
        <v>1150</v>
      </c>
      <c r="X28" s="101" t="s">
        <v>43</v>
      </c>
    </row>
    <row r="29" spans="1:24" s="1" customFormat="1" ht="18" customHeight="1">
      <c r="A29" s="4" t="s">
        <v>45</v>
      </c>
      <c r="B29" s="140">
        <v>1480969</v>
      </c>
      <c r="C29" s="141">
        <f>3633202/1000</f>
        <v>3633.2020000000002</v>
      </c>
      <c r="D29" s="141">
        <f>1791118/1000</f>
        <v>1791.1179999999999</v>
      </c>
      <c r="E29" s="141">
        <f>1842084/1000</f>
        <v>1842.0840000000001</v>
      </c>
      <c r="F29" s="142">
        <v>439.49</v>
      </c>
      <c r="G29" s="322">
        <v>12.096492295226085</v>
      </c>
      <c r="H29" s="143">
        <v>2100.962</v>
      </c>
      <c r="I29" s="322">
        <v>57.826732452530848</v>
      </c>
      <c r="J29" s="143">
        <v>1092.75</v>
      </c>
      <c r="K29" s="325">
        <v>30.076775252243067</v>
      </c>
      <c r="L29" s="144">
        <v>35</v>
      </c>
      <c r="M29" s="145">
        <v>23</v>
      </c>
      <c r="N29" s="96">
        <v>12</v>
      </c>
      <c r="O29" s="107" t="s">
        <v>264</v>
      </c>
      <c r="P29" s="147">
        <v>50736</v>
      </c>
      <c r="Q29" s="147">
        <v>24426</v>
      </c>
      <c r="R29" s="147">
        <v>25432</v>
      </c>
      <c r="S29" s="147">
        <v>63228</v>
      </c>
      <c r="T29" s="148">
        <v>21700</v>
      </c>
      <c r="U29" s="149">
        <v>15100</v>
      </c>
      <c r="V29" s="150">
        <v>24900</v>
      </c>
      <c r="W29" s="151">
        <v>1140</v>
      </c>
      <c r="X29" s="101" t="s">
        <v>45</v>
      </c>
    </row>
    <row r="30" spans="1:24" s="1" customFormat="1" ht="18" customHeight="1">
      <c r="A30" s="4" t="s">
        <v>46</v>
      </c>
      <c r="B30" s="140">
        <v>3233126</v>
      </c>
      <c r="C30" s="141">
        <f>7542415/1000</f>
        <v>7542.415</v>
      </c>
      <c r="D30" s="141">
        <f>3761502/1000</f>
        <v>3761.502</v>
      </c>
      <c r="E30" s="141">
        <f>3780913/1000</f>
        <v>3780.913</v>
      </c>
      <c r="F30" s="142">
        <v>980.38800000000003</v>
      </c>
      <c r="G30" s="322">
        <v>12.998330110448709</v>
      </c>
      <c r="H30" s="143">
        <v>4654.6350000000002</v>
      </c>
      <c r="I30" s="322">
        <v>61.712793581366178</v>
      </c>
      <c r="J30" s="143">
        <v>1907.3920000000001</v>
      </c>
      <c r="K30" s="325">
        <v>25.28887630818511</v>
      </c>
      <c r="L30" s="144">
        <v>54</v>
      </c>
      <c r="M30" s="145">
        <v>38</v>
      </c>
      <c r="N30" s="96">
        <v>14</v>
      </c>
      <c r="O30" s="146">
        <v>2</v>
      </c>
      <c r="P30" s="147">
        <v>61055</v>
      </c>
      <c r="Q30" s="147">
        <v>25906</v>
      </c>
      <c r="R30" s="147">
        <v>26006</v>
      </c>
      <c r="S30" s="147">
        <v>66459</v>
      </c>
      <c r="T30" s="148">
        <v>41800</v>
      </c>
      <c r="U30" s="149">
        <v>26200</v>
      </c>
      <c r="V30" s="150">
        <v>5300</v>
      </c>
      <c r="W30" s="151">
        <v>350</v>
      </c>
      <c r="X30" s="101" t="s">
        <v>46</v>
      </c>
    </row>
    <row r="31" spans="1:24" s="1" customFormat="1" ht="18" customHeight="1">
      <c r="A31" s="4" t="s">
        <v>47</v>
      </c>
      <c r="B31" s="140">
        <v>741183</v>
      </c>
      <c r="C31" s="141">
        <f>1770254/1000</f>
        <v>1770.2539999999999</v>
      </c>
      <c r="D31" s="141">
        <f>864475/1000</f>
        <v>864.47500000000002</v>
      </c>
      <c r="E31" s="141">
        <f>905779/1000</f>
        <v>905.779</v>
      </c>
      <c r="F31" s="142">
        <v>213.37299999999999</v>
      </c>
      <c r="G31" s="322">
        <v>12.053242077125656</v>
      </c>
      <c r="H31" s="143">
        <v>1027.3320000000001</v>
      </c>
      <c r="I31" s="322">
        <v>58.033028028746159</v>
      </c>
      <c r="J31" s="143">
        <v>529.54899999999998</v>
      </c>
      <c r="K31" s="325">
        <v>29.913729894128188</v>
      </c>
      <c r="L31" s="144">
        <v>29</v>
      </c>
      <c r="M31" s="145">
        <v>14</v>
      </c>
      <c r="N31" s="96">
        <v>15</v>
      </c>
      <c r="O31" s="107" t="s">
        <v>264</v>
      </c>
      <c r="P31" s="147">
        <v>33530</v>
      </c>
      <c r="Q31" s="147">
        <v>18062</v>
      </c>
      <c r="R31" s="147">
        <v>18601</v>
      </c>
      <c r="S31" s="147">
        <v>43366</v>
      </c>
      <c r="T31" s="148">
        <v>44200</v>
      </c>
      <c r="U31" s="149">
        <v>8230</v>
      </c>
      <c r="V31" s="150">
        <v>5510</v>
      </c>
      <c r="W31" s="151">
        <v>26</v>
      </c>
      <c r="X31" s="101" t="s">
        <v>47</v>
      </c>
    </row>
    <row r="32" spans="1:24" s="1" customFormat="1" ht="18" customHeight="1">
      <c r="A32" s="4" t="s">
        <v>48</v>
      </c>
      <c r="B32" s="140">
        <v>570529</v>
      </c>
      <c r="C32" s="141">
        <f>1413610/1000</f>
        <v>1413.61</v>
      </c>
      <c r="D32" s="141">
        <f>697429/1000</f>
        <v>697.42899999999997</v>
      </c>
      <c r="E32" s="141">
        <f>716181/1000</f>
        <v>716.18100000000004</v>
      </c>
      <c r="F32" s="142">
        <v>192.256</v>
      </c>
      <c r="G32" s="322">
        <v>13.600356533980376</v>
      </c>
      <c r="H32" s="143">
        <v>849.68600000000004</v>
      </c>
      <c r="I32" s="322">
        <v>60.107526121065924</v>
      </c>
      <c r="J32" s="143">
        <v>371.66800000000001</v>
      </c>
      <c r="K32" s="325">
        <v>26.292117344953702</v>
      </c>
      <c r="L32" s="144">
        <v>19</v>
      </c>
      <c r="M32" s="145">
        <v>13</v>
      </c>
      <c r="N32" s="96">
        <v>6</v>
      </c>
      <c r="O32" s="107" t="s">
        <v>264</v>
      </c>
      <c r="P32" s="147">
        <v>21971</v>
      </c>
      <c r="Q32" s="147">
        <v>13807</v>
      </c>
      <c r="R32" s="147">
        <v>14570</v>
      </c>
      <c r="S32" s="147">
        <v>34103</v>
      </c>
      <c r="T32" s="148">
        <v>47400</v>
      </c>
      <c r="U32" s="149">
        <v>2840</v>
      </c>
      <c r="V32" s="150">
        <v>957</v>
      </c>
      <c r="W32" s="151">
        <v>55</v>
      </c>
      <c r="X32" s="101" t="s">
        <v>48</v>
      </c>
    </row>
    <row r="33" spans="1:24" s="5" customFormat="1" ht="18" customHeight="1">
      <c r="A33" s="108" t="s">
        <v>49</v>
      </c>
      <c r="B33" s="123">
        <v>1188903</v>
      </c>
      <c r="C33" s="122">
        <f>2578087/1000</f>
        <v>2578.087</v>
      </c>
      <c r="D33" s="122">
        <f>1231468/1000</f>
        <v>1231.4680000000001</v>
      </c>
      <c r="E33" s="122">
        <f>1346619/1000</f>
        <v>1346.6189999999999</v>
      </c>
      <c r="F33" s="109">
        <v>294.399</v>
      </c>
      <c r="G33" s="323">
        <v>11.419281040554488</v>
      </c>
      <c r="H33" s="110">
        <v>1527.2840000000001</v>
      </c>
      <c r="I33" s="323">
        <v>59.240979842805928</v>
      </c>
      <c r="J33" s="110">
        <v>756.404</v>
      </c>
      <c r="K33" s="326">
        <v>29.339739116639585</v>
      </c>
      <c r="L33" s="118">
        <v>26</v>
      </c>
      <c r="M33" s="119">
        <v>15</v>
      </c>
      <c r="N33" s="120">
        <v>10</v>
      </c>
      <c r="O33" s="121">
        <v>1</v>
      </c>
      <c r="P33" s="112">
        <v>24953</v>
      </c>
      <c r="Q33" s="112">
        <v>13616</v>
      </c>
      <c r="R33" s="112">
        <v>14064</v>
      </c>
      <c r="S33" s="112">
        <v>30936</v>
      </c>
      <c r="T33" s="114">
        <v>23200</v>
      </c>
      <c r="U33" s="115">
        <v>3600</v>
      </c>
      <c r="V33" s="116">
        <v>2970</v>
      </c>
      <c r="W33" s="117">
        <v>68</v>
      </c>
      <c r="X33" s="102" t="s">
        <v>49</v>
      </c>
    </row>
    <row r="34" spans="1:24" s="1" customFormat="1" ht="18" customHeight="1">
      <c r="A34" s="4" t="s">
        <v>50</v>
      </c>
      <c r="B34" s="140">
        <v>4126995</v>
      </c>
      <c r="C34" s="141">
        <f>8837685/1000</f>
        <v>8837.6849999999995</v>
      </c>
      <c r="D34" s="141">
        <f>4235956/1000</f>
        <v>4235.9560000000001</v>
      </c>
      <c r="E34" s="141">
        <f>4601729/1000</f>
        <v>4601.7290000000003</v>
      </c>
      <c r="F34" s="142">
        <v>1032.375</v>
      </c>
      <c r="G34" s="322">
        <v>11.681509354542507</v>
      </c>
      <c r="H34" s="143">
        <v>5363.326</v>
      </c>
      <c r="I34" s="322">
        <v>60.687001177344527</v>
      </c>
      <c r="J34" s="143">
        <v>2441.9839999999999</v>
      </c>
      <c r="K34" s="325">
        <v>27.631489468112974</v>
      </c>
      <c r="L34" s="144">
        <v>43</v>
      </c>
      <c r="M34" s="145">
        <v>33</v>
      </c>
      <c r="N34" s="96">
        <v>9</v>
      </c>
      <c r="O34" s="146">
        <v>1</v>
      </c>
      <c r="P34" s="153">
        <v>20813</v>
      </c>
      <c r="Q34" s="153">
        <v>7413</v>
      </c>
      <c r="R34" s="153">
        <v>7634</v>
      </c>
      <c r="S34" s="153">
        <v>18149</v>
      </c>
      <c r="T34" s="148">
        <v>8750</v>
      </c>
      <c r="U34" s="149">
        <v>1830</v>
      </c>
      <c r="V34" s="150">
        <v>1960</v>
      </c>
      <c r="W34" s="152" t="s">
        <v>270</v>
      </c>
      <c r="X34" s="101" t="s">
        <v>50</v>
      </c>
    </row>
    <row r="35" spans="1:24" s="1" customFormat="1" ht="18" customHeight="1">
      <c r="A35" s="4" t="s">
        <v>51</v>
      </c>
      <c r="B35" s="140">
        <v>2399358</v>
      </c>
      <c r="C35" s="141">
        <f>5465002/1000</f>
        <v>5465.0020000000004</v>
      </c>
      <c r="D35" s="141">
        <f>2599756/1000</f>
        <v>2599.7559999999999</v>
      </c>
      <c r="E35" s="141">
        <f>2865246/1000</f>
        <v>2865.2460000000001</v>
      </c>
      <c r="F35" s="142">
        <v>666.51099999999997</v>
      </c>
      <c r="G35" s="322">
        <v>12.19598821738766</v>
      </c>
      <c r="H35" s="143">
        <v>3197.0920000000001</v>
      </c>
      <c r="I35" s="322">
        <v>58.501204574124586</v>
      </c>
      <c r="J35" s="143">
        <v>1601.3989999999999</v>
      </c>
      <c r="K35" s="325">
        <v>29.302807208487756</v>
      </c>
      <c r="L35" s="144">
        <v>41</v>
      </c>
      <c r="M35" s="145">
        <v>29</v>
      </c>
      <c r="N35" s="96">
        <v>12</v>
      </c>
      <c r="O35" s="107" t="s">
        <v>264</v>
      </c>
      <c r="P35" s="153">
        <v>67124</v>
      </c>
      <c r="Q35" s="153">
        <v>37025</v>
      </c>
      <c r="R35" s="153">
        <v>37807</v>
      </c>
      <c r="S35" s="153">
        <v>87029</v>
      </c>
      <c r="T35" s="148">
        <v>66900</v>
      </c>
      <c r="U35" s="149">
        <v>4290</v>
      </c>
      <c r="V35" s="150">
        <v>1560</v>
      </c>
      <c r="W35" s="151">
        <v>287</v>
      </c>
      <c r="X35" s="101" t="s">
        <v>51</v>
      </c>
    </row>
    <row r="36" spans="1:24" s="1" customFormat="1" ht="18" customHeight="1">
      <c r="A36" s="4" t="s">
        <v>52</v>
      </c>
      <c r="B36" s="140">
        <v>543908</v>
      </c>
      <c r="C36" s="141">
        <f>1324473/1000</f>
        <v>1324.473</v>
      </c>
      <c r="D36" s="141">
        <f>623926/1000</f>
        <v>623.92600000000004</v>
      </c>
      <c r="E36" s="141">
        <f>700547/1000</f>
        <v>700.54700000000003</v>
      </c>
      <c r="F36" s="142">
        <v>154.83600000000001</v>
      </c>
      <c r="G36" s="322">
        <v>11.690385534472956</v>
      </c>
      <c r="H36" s="143">
        <v>749.51400000000001</v>
      </c>
      <c r="I36" s="322">
        <v>56.589602053042988</v>
      </c>
      <c r="J36" s="143">
        <v>420.12299999999999</v>
      </c>
      <c r="K36" s="325">
        <v>31.72001241248406</v>
      </c>
      <c r="L36" s="144">
        <v>39</v>
      </c>
      <c r="M36" s="145">
        <v>12</v>
      </c>
      <c r="N36" s="96">
        <v>15</v>
      </c>
      <c r="O36" s="146">
        <v>12</v>
      </c>
      <c r="P36" s="153">
        <v>21950</v>
      </c>
      <c r="Q36" s="153">
        <v>10616</v>
      </c>
      <c r="R36" s="153">
        <v>10800</v>
      </c>
      <c r="S36" s="153">
        <v>25073</v>
      </c>
      <c r="T36" s="148">
        <v>14100</v>
      </c>
      <c r="U36" s="149">
        <v>2420</v>
      </c>
      <c r="V36" s="150">
        <v>3420</v>
      </c>
      <c r="W36" s="151">
        <v>37</v>
      </c>
      <c r="X36" s="101" t="s">
        <v>52</v>
      </c>
    </row>
    <row r="37" spans="1:24" s="1" customFormat="1" ht="18" customHeight="1">
      <c r="A37" s="4" t="s">
        <v>53</v>
      </c>
      <c r="B37" s="140">
        <v>393489</v>
      </c>
      <c r="C37" s="141">
        <f>922584/1000</f>
        <v>922.58399999999995</v>
      </c>
      <c r="D37" s="141">
        <f>435051/1000</f>
        <v>435.05099999999999</v>
      </c>
      <c r="E37" s="141">
        <f>487533/1000</f>
        <v>487.53300000000002</v>
      </c>
      <c r="F37" s="142">
        <v>105.598</v>
      </c>
      <c r="G37" s="322">
        <v>11.445895441499093</v>
      </c>
      <c r="H37" s="143">
        <v>509.21199999999999</v>
      </c>
      <c r="I37" s="322">
        <v>55.194106986464107</v>
      </c>
      <c r="J37" s="143">
        <v>307.774</v>
      </c>
      <c r="K37" s="325">
        <v>33.359997572036804</v>
      </c>
      <c r="L37" s="144">
        <v>30</v>
      </c>
      <c r="M37" s="145">
        <v>9</v>
      </c>
      <c r="N37" s="96">
        <v>20</v>
      </c>
      <c r="O37" s="146">
        <v>1</v>
      </c>
      <c r="P37" s="153">
        <v>25263</v>
      </c>
      <c r="Q37" s="153">
        <v>17250</v>
      </c>
      <c r="R37" s="153">
        <v>18020</v>
      </c>
      <c r="S37" s="153">
        <v>41768</v>
      </c>
      <c r="T37" s="148">
        <v>9330</v>
      </c>
      <c r="U37" s="149">
        <v>2270</v>
      </c>
      <c r="V37" s="150">
        <v>20200</v>
      </c>
      <c r="W37" s="151">
        <v>31</v>
      </c>
      <c r="X37" s="101" t="s">
        <v>53</v>
      </c>
    </row>
    <row r="38" spans="1:24" s="1" customFormat="1" ht="18" customHeight="1">
      <c r="A38" s="4" t="s">
        <v>54</v>
      </c>
      <c r="B38" s="140">
        <v>219069</v>
      </c>
      <c r="C38" s="141">
        <f>553407/1000</f>
        <v>553.40700000000004</v>
      </c>
      <c r="D38" s="141">
        <f>264432/1000</f>
        <v>264.43200000000002</v>
      </c>
      <c r="E38" s="141">
        <f>288975/1000</f>
        <v>288.97500000000002</v>
      </c>
      <c r="F38" s="142">
        <v>68.542000000000002</v>
      </c>
      <c r="G38" s="322">
        <v>12.385459526171516</v>
      </c>
      <c r="H38" s="143">
        <v>306.28800000000001</v>
      </c>
      <c r="I38" s="322">
        <v>55.345884674389737</v>
      </c>
      <c r="J38" s="143">
        <v>178.577</v>
      </c>
      <c r="K38" s="325">
        <v>32.268655799438747</v>
      </c>
      <c r="L38" s="144">
        <v>19</v>
      </c>
      <c r="M38" s="145">
        <v>4</v>
      </c>
      <c r="N38" s="96">
        <v>14</v>
      </c>
      <c r="O38" s="146">
        <v>1</v>
      </c>
      <c r="P38" s="153">
        <v>23106</v>
      </c>
      <c r="Q38" s="153">
        <v>13911</v>
      </c>
      <c r="R38" s="153">
        <v>14310</v>
      </c>
      <c r="S38" s="153">
        <v>33880</v>
      </c>
      <c r="T38" s="148">
        <v>23400</v>
      </c>
      <c r="U38" s="149">
        <v>8770</v>
      </c>
      <c r="V38" s="150">
        <v>1370</v>
      </c>
      <c r="W38" s="151">
        <v>809</v>
      </c>
      <c r="X38" s="101" t="s">
        <v>54</v>
      </c>
    </row>
    <row r="39" spans="1:24" s="1" customFormat="1" ht="18" customHeight="1">
      <c r="A39" s="4" t="s">
        <v>55</v>
      </c>
      <c r="B39" s="140">
        <v>268462</v>
      </c>
      <c r="C39" s="141">
        <f>671126/1000</f>
        <v>671.12599999999998</v>
      </c>
      <c r="D39" s="141">
        <f>324291/1000</f>
        <v>324.291</v>
      </c>
      <c r="E39" s="141">
        <f>346835/1000</f>
        <v>346.83499999999998</v>
      </c>
      <c r="F39" s="142">
        <v>81.837000000000003</v>
      </c>
      <c r="G39" s="322">
        <v>12.193984438093592</v>
      </c>
      <c r="H39" s="143">
        <v>359.73500000000001</v>
      </c>
      <c r="I39" s="322">
        <v>53.601708174023955</v>
      </c>
      <c r="J39" s="143">
        <v>229.554</v>
      </c>
      <c r="K39" s="325">
        <v>34.204307387882452</v>
      </c>
      <c r="L39" s="144">
        <v>19</v>
      </c>
      <c r="M39" s="145">
        <v>8</v>
      </c>
      <c r="N39" s="96">
        <v>10</v>
      </c>
      <c r="O39" s="146">
        <v>1</v>
      </c>
      <c r="P39" s="153">
        <v>27186</v>
      </c>
      <c r="Q39" s="153">
        <v>14397</v>
      </c>
      <c r="R39" s="153">
        <v>15029</v>
      </c>
      <c r="S39" s="153">
        <v>33863</v>
      </c>
      <c r="T39" s="148">
        <v>29400</v>
      </c>
      <c r="U39" s="149">
        <v>5150</v>
      </c>
      <c r="V39" s="150">
        <v>1330</v>
      </c>
      <c r="W39" s="151">
        <v>526</v>
      </c>
      <c r="X39" s="101" t="s">
        <v>55</v>
      </c>
    </row>
    <row r="40" spans="1:24" s="1" customFormat="1" ht="18" customHeight="1">
      <c r="A40" s="4" t="s">
        <v>56</v>
      </c>
      <c r="B40" s="140">
        <v>799611</v>
      </c>
      <c r="C40" s="141">
        <f>1888432/1000</f>
        <v>1888.432</v>
      </c>
      <c r="D40" s="141">
        <f>908045/1000</f>
        <v>908.04499999999996</v>
      </c>
      <c r="E40" s="141">
        <f>980387/1000</f>
        <v>980.38699999999994</v>
      </c>
      <c r="F40" s="142">
        <v>233.416</v>
      </c>
      <c r="G40" s="322">
        <v>12.360307387292737</v>
      </c>
      <c r="H40" s="143">
        <v>1082.126</v>
      </c>
      <c r="I40" s="322">
        <v>57.302884085844767</v>
      </c>
      <c r="J40" s="143">
        <v>572.89</v>
      </c>
      <c r="K40" s="325">
        <v>30.336808526862498</v>
      </c>
      <c r="L40" s="144">
        <v>27</v>
      </c>
      <c r="M40" s="145">
        <v>15</v>
      </c>
      <c r="N40" s="96">
        <v>10</v>
      </c>
      <c r="O40" s="146">
        <v>2</v>
      </c>
      <c r="P40" s="153">
        <v>50735</v>
      </c>
      <c r="Q40" s="153">
        <v>27937</v>
      </c>
      <c r="R40" s="153">
        <v>28498</v>
      </c>
      <c r="S40" s="153">
        <v>66262</v>
      </c>
      <c r="T40" s="148">
        <v>50000</v>
      </c>
      <c r="U40" s="149">
        <v>9420</v>
      </c>
      <c r="V40" s="150">
        <v>3570</v>
      </c>
      <c r="W40" s="151">
        <v>623</v>
      </c>
      <c r="X40" s="101" t="s">
        <v>56</v>
      </c>
    </row>
    <row r="41" spans="1:24" s="1" customFormat="1" ht="18" customHeight="1">
      <c r="A41" s="4" t="s">
        <v>57</v>
      </c>
      <c r="B41" s="140">
        <v>1241204</v>
      </c>
      <c r="C41" s="141">
        <f>2799702/1000</f>
        <v>2799.7020000000002</v>
      </c>
      <c r="D41" s="141">
        <f>1357156/1000</f>
        <v>1357.1559999999999</v>
      </c>
      <c r="E41" s="141">
        <f>1442546/1000</f>
        <v>1442.546</v>
      </c>
      <c r="F41" s="142">
        <v>353.79199999999997</v>
      </c>
      <c r="G41" s="322">
        <v>12.636773485178065</v>
      </c>
      <c r="H41" s="143">
        <v>1622.8119999999999</v>
      </c>
      <c r="I41" s="322">
        <v>57.96374042665969</v>
      </c>
      <c r="J41" s="143">
        <v>823.09799999999996</v>
      </c>
      <c r="K41" s="325">
        <v>29.399486088162242</v>
      </c>
      <c r="L41" s="144">
        <v>23</v>
      </c>
      <c r="M41" s="145">
        <v>14</v>
      </c>
      <c r="N41" s="96">
        <v>9</v>
      </c>
      <c r="O41" s="107" t="s">
        <v>264</v>
      </c>
      <c r="P41" s="153">
        <v>45335</v>
      </c>
      <c r="Q41" s="153">
        <v>20861</v>
      </c>
      <c r="R41" s="153">
        <v>22047</v>
      </c>
      <c r="S41" s="153">
        <v>47726</v>
      </c>
      <c r="T41" s="148">
        <v>40200</v>
      </c>
      <c r="U41" s="149">
        <v>7330</v>
      </c>
      <c r="V41" s="150">
        <v>5330</v>
      </c>
      <c r="W41" s="151">
        <v>629</v>
      </c>
      <c r="X41" s="101" t="s">
        <v>57</v>
      </c>
    </row>
    <row r="42" spans="1:24" s="1" customFormat="1" ht="18" customHeight="1">
      <c r="A42" s="4" t="s">
        <v>58</v>
      </c>
      <c r="B42" s="140">
        <v>597309</v>
      </c>
      <c r="C42" s="141">
        <f>1342059/1000</f>
        <v>1342.059</v>
      </c>
      <c r="D42" s="141">
        <f>636736/1000</f>
        <v>636.73599999999999</v>
      </c>
      <c r="E42" s="141">
        <f>705323/1000</f>
        <v>705.32299999999998</v>
      </c>
      <c r="F42" s="142">
        <v>153.83799999999999</v>
      </c>
      <c r="G42" s="322">
        <v>11.462834346329036</v>
      </c>
      <c r="H42" s="143">
        <v>723.58799999999997</v>
      </c>
      <c r="I42" s="322">
        <v>53.916258525146809</v>
      </c>
      <c r="J42" s="143">
        <v>464.63299999999998</v>
      </c>
      <c r="K42" s="325">
        <v>34.620907128524152</v>
      </c>
      <c r="L42" s="144">
        <v>19</v>
      </c>
      <c r="M42" s="145">
        <v>13</v>
      </c>
      <c r="N42" s="96">
        <v>6</v>
      </c>
      <c r="O42" s="107" t="s">
        <v>264</v>
      </c>
      <c r="P42" s="153">
        <v>27338</v>
      </c>
      <c r="Q42" s="153">
        <v>14837</v>
      </c>
      <c r="R42" s="153">
        <v>15717</v>
      </c>
      <c r="S42" s="153">
        <v>32715</v>
      </c>
      <c r="T42" s="148">
        <v>37300</v>
      </c>
      <c r="U42" s="149">
        <v>4680</v>
      </c>
      <c r="V42" s="150">
        <v>2570</v>
      </c>
      <c r="W42" s="151">
        <v>334</v>
      </c>
      <c r="X42" s="101" t="s">
        <v>58</v>
      </c>
    </row>
    <row r="43" spans="1:24" s="1" customFormat="1" ht="18" customHeight="1">
      <c r="A43" s="4" t="s">
        <v>59</v>
      </c>
      <c r="B43" s="140">
        <v>307358</v>
      </c>
      <c r="C43" s="141">
        <f>719559/1000</f>
        <v>719.55899999999997</v>
      </c>
      <c r="D43" s="141">
        <f>343265/1000</f>
        <v>343.26499999999999</v>
      </c>
      <c r="E43" s="141">
        <f>376294/1000</f>
        <v>376.29399999999998</v>
      </c>
      <c r="F43" s="142">
        <v>78.361000000000004</v>
      </c>
      <c r="G43" s="322">
        <v>10.89014243446333</v>
      </c>
      <c r="H43" s="143">
        <v>395.21499999999997</v>
      </c>
      <c r="I43" s="322">
        <v>54.924613548020382</v>
      </c>
      <c r="J43" s="143">
        <v>245.983</v>
      </c>
      <c r="K43" s="325">
        <v>34.18524401751629</v>
      </c>
      <c r="L43" s="144">
        <v>24</v>
      </c>
      <c r="M43" s="145">
        <v>8</v>
      </c>
      <c r="N43" s="96">
        <v>15</v>
      </c>
      <c r="O43" s="146">
        <v>1</v>
      </c>
      <c r="P43" s="153">
        <v>25119</v>
      </c>
      <c r="Q43" s="153">
        <v>14059</v>
      </c>
      <c r="R43" s="153">
        <v>14428</v>
      </c>
      <c r="S43" s="153">
        <v>33097</v>
      </c>
      <c r="T43" s="148">
        <v>19400</v>
      </c>
      <c r="U43" s="149">
        <v>5370</v>
      </c>
      <c r="V43" s="150">
        <v>3630</v>
      </c>
      <c r="W43" s="151">
        <v>103</v>
      </c>
      <c r="X43" s="101" t="s">
        <v>59</v>
      </c>
    </row>
    <row r="44" spans="1:24" s="1" customFormat="1" ht="18" customHeight="1">
      <c r="A44" s="4" t="s">
        <v>60</v>
      </c>
      <c r="B44" s="140">
        <v>406062</v>
      </c>
      <c r="C44" s="141">
        <f>950244/1000</f>
        <v>950.24400000000003</v>
      </c>
      <c r="D44" s="141">
        <f>459197/1000</f>
        <v>459.197</v>
      </c>
      <c r="E44" s="141">
        <f>491047/1000</f>
        <v>491.04700000000003</v>
      </c>
      <c r="F44" s="142">
        <v>114.66200000000001</v>
      </c>
      <c r="G44" s="322">
        <v>12.066585003430697</v>
      </c>
      <c r="H44" s="143">
        <v>533.56399999999996</v>
      </c>
      <c r="I44" s="322">
        <v>56.15020984084088</v>
      </c>
      <c r="J44" s="143">
        <v>302.01799999999997</v>
      </c>
      <c r="K44" s="325">
        <v>31.783205155728421</v>
      </c>
      <c r="L44" s="144">
        <v>17</v>
      </c>
      <c r="M44" s="145">
        <v>8</v>
      </c>
      <c r="N44" s="96">
        <v>9</v>
      </c>
      <c r="O44" s="107" t="s">
        <v>264</v>
      </c>
      <c r="P44" s="153">
        <v>29222</v>
      </c>
      <c r="Q44" s="153">
        <v>15942</v>
      </c>
      <c r="R44" s="153">
        <v>16365</v>
      </c>
      <c r="S44" s="153">
        <v>37113</v>
      </c>
      <c r="T44" s="148">
        <v>24700</v>
      </c>
      <c r="U44" s="149">
        <v>2180</v>
      </c>
      <c r="V44" s="150">
        <v>2770</v>
      </c>
      <c r="W44" s="151">
        <v>20</v>
      </c>
      <c r="X44" s="101" t="s">
        <v>60</v>
      </c>
    </row>
    <row r="45" spans="1:24" s="1" customFormat="1" ht="18" customHeight="1">
      <c r="A45" s="4" t="s">
        <v>61</v>
      </c>
      <c r="B45" s="140">
        <v>599941</v>
      </c>
      <c r="C45" s="141">
        <f>1334841/1000</f>
        <v>1334.8409999999999</v>
      </c>
      <c r="D45" s="141">
        <f>633062/1000</f>
        <v>633.06200000000001</v>
      </c>
      <c r="E45" s="141">
        <f>701779/1000</f>
        <v>701.779</v>
      </c>
      <c r="F45" s="142">
        <v>154.41999999999999</v>
      </c>
      <c r="G45" s="322">
        <v>11.568419010204211</v>
      </c>
      <c r="H45" s="143">
        <v>737.23099999999999</v>
      </c>
      <c r="I45" s="322">
        <v>55.229873820177829</v>
      </c>
      <c r="J45" s="143">
        <v>443.19</v>
      </c>
      <c r="K45" s="325">
        <v>33.201707169617954</v>
      </c>
      <c r="L45" s="144">
        <v>20</v>
      </c>
      <c r="M45" s="145">
        <v>11</v>
      </c>
      <c r="N45" s="96">
        <v>9</v>
      </c>
      <c r="O45" s="107" t="s">
        <v>264</v>
      </c>
      <c r="P45" s="153">
        <v>34994</v>
      </c>
      <c r="Q45" s="153">
        <v>20639</v>
      </c>
      <c r="R45" s="153">
        <v>21475</v>
      </c>
      <c r="S45" s="153">
        <v>46304</v>
      </c>
      <c r="T45" s="148">
        <v>22100</v>
      </c>
      <c r="U45" s="149">
        <v>5640</v>
      </c>
      <c r="V45" s="150">
        <v>19100</v>
      </c>
      <c r="W45" s="151">
        <v>196</v>
      </c>
      <c r="X45" s="101" t="s">
        <v>61</v>
      </c>
    </row>
    <row r="46" spans="1:24" s="1" customFormat="1" ht="18" customHeight="1">
      <c r="A46" s="4" t="s">
        <v>62</v>
      </c>
      <c r="B46" s="140">
        <v>314330</v>
      </c>
      <c r="C46" s="141">
        <f>691527/1000</f>
        <v>691.52700000000004</v>
      </c>
      <c r="D46" s="141">
        <f>326531/1000</f>
        <v>326.53100000000001</v>
      </c>
      <c r="E46" s="141">
        <f>364996/1000</f>
        <v>364.99599999999998</v>
      </c>
      <c r="F46" s="142">
        <v>75.171000000000006</v>
      </c>
      <c r="G46" s="322">
        <v>10.870291398600489</v>
      </c>
      <c r="H46" s="143">
        <v>370.99700000000001</v>
      </c>
      <c r="I46" s="322">
        <v>53.648953692335944</v>
      </c>
      <c r="J46" s="143">
        <v>245.35900000000001</v>
      </c>
      <c r="K46" s="325">
        <v>35.480754909063563</v>
      </c>
      <c r="L46" s="144">
        <v>34</v>
      </c>
      <c r="M46" s="145">
        <v>11</v>
      </c>
      <c r="N46" s="96">
        <v>17</v>
      </c>
      <c r="O46" s="146">
        <v>6</v>
      </c>
      <c r="P46" s="153">
        <v>19924</v>
      </c>
      <c r="Q46" s="153">
        <v>12173</v>
      </c>
      <c r="R46" s="153">
        <v>12550</v>
      </c>
      <c r="S46" s="153">
        <v>26993</v>
      </c>
      <c r="T46" s="148">
        <v>20100</v>
      </c>
      <c r="U46" s="149">
        <v>2950</v>
      </c>
      <c r="V46" s="150">
        <v>3370</v>
      </c>
      <c r="W46" s="151">
        <v>175</v>
      </c>
      <c r="X46" s="101" t="s">
        <v>62</v>
      </c>
    </row>
    <row r="47" spans="1:24" s="1" customFormat="1" ht="18" customHeight="1">
      <c r="A47" s="4" t="s">
        <v>63</v>
      </c>
      <c r="B47" s="140">
        <v>2318479</v>
      </c>
      <c r="C47" s="141">
        <f>5135214/1000</f>
        <v>5135.2139999999999</v>
      </c>
      <c r="D47" s="141">
        <f>2430951/1000</f>
        <v>2430.951</v>
      </c>
      <c r="E47" s="141">
        <f>2704263/1000</f>
        <v>2704.2629999999999</v>
      </c>
      <c r="F47" s="142">
        <v>667.10699999999997</v>
      </c>
      <c r="G47" s="322">
        <v>12.990831540808232</v>
      </c>
      <c r="H47" s="143">
        <v>3035.328</v>
      </c>
      <c r="I47" s="322">
        <v>59.108111171218958</v>
      </c>
      <c r="J47" s="143">
        <v>1432.779</v>
      </c>
      <c r="K47" s="325">
        <v>27.901057287972808</v>
      </c>
      <c r="L47" s="144">
        <v>60</v>
      </c>
      <c r="M47" s="145">
        <v>29</v>
      </c>
      <c r="N47" s="96">
        <v>29</v>
      </c>
      <c r="O47" s="146">
        <v>2</v>
      </c>
      <c r="P47" s="153">
        <v>41351</v>
      </c>
      <c r="Q47" s="153">
        <v>27187</v>
      </c>
      <c r="R47" s="153">
        <v>27928</v>
      </c>
      <c r="S47" s="153">
        <v>64179</v>
      </c>
      <c r="T47" s="148">
        <v>64200</v>
      </c>
      <c r="U47" s="149">
        <v>7430</v>
      </c>
      <c r="V47" s="150">
        <v>7940</v>
      </c>
      <c r="W47" s="151">
        <v>176</v>
      </c>
      <c r="X47" s="101" t="s">
        <v>63</v>
      </c>
    </row>
    <row r="48" spans="1:24" s="1" customFormat="1" ht="18" customHeight="1">
      <c r="A48" s="4" t="s">
        <v>64</v>
      </c>
      <c r="B48" s="140">
        <v>311173</v>
      </c>
      <c r="C48" s="141">
        <f>811442/1000</f>
        <v>811.44200000000001</v>
      </c>
      <c r="D48" s="141">
        <f>384451/1000</f>
        <v>384.45100000000002</v>
      </c>
      <c r="E48" s="141">
        <f>426991/1000</f>
        <v>426.99099999999999</v>
      </c>
      <c r="F48" s="142">
        <v>109.17400000000001</v>
      </c>
      <c r="G48" s="322">
        <v>13.454319594006719</v>
      </c>
      <c r="H48" s="143">
        <v>453.697</v>
      </c>
      <c r="I48" s="322">
        <v>55.912437364592918</v>
      </c>
      <c r="J48" s="143">
        <v>248.571</v>
      </c>
      <c r="K48" s="325">
        <v>30.63324304140037</v>
      </c>
      <c r="L48" s="144">
        <v>20</v>
      </c>
      <c r="M48" s="145">
        <v>10</v>
      </c>
      <c r="N48" s="96">
        <v>10</v>
      </c>
      <c r="O48" s="107" t="s">
        <v>264</v>
      </c>
      <c r="P48" s="153">
        <v>18645</v>
      </c>
      <c r="Q48" s="153">
        <v>13293</v>
      </c>
      <c r="R48" s="153">
        <v>13911</v>
      </c>
      <c r="S48" s="153">
        <v>34610</v>
      </c>
      <c r="T48" s="148">
        <v>42000</v>
      </c>
      <c r="U48" s="149">
        <v>4150</v>
      </c>
      <c r="V48" s="150">
        <v>4590</v>
      </c>
      <c r="W48" s="151">
        <v>51</v>
      </c>
      <c r="X48" s="101" t="s">
        <v>64</v>
      </c>
    </row>
    <row r="49" spans="1:24" s="1" customFormat="1" ht="18" customHeight="1">
      <c r="A49" s="4" t="s">
        <v>65</v>
      </c>
      <c r="B49" s="140">
        <v>556130</v>
      </c>
      <c r="C49" s="141">
        <f>1312317/1000</f>
        <v>1312.317</v>
      </c>
      <c r="D49" s="141">
        <f>616912/1000</f>
        <v>616.91200000000003</v>
      </c>
      <c r="E49" s="141">
        <f>695405/1000</f>
        <v>695.40499999999997</v>
      </c>
      <c r="F49" s="142">
        <v>164.57300000000001</v>
      </c>
      <c r="G49" s="322">
        <v>12.540643762139789</v>
      </c>
      <c r="H49" s="143">
        <v>714.726</v>
      </c>
      <c r="I49" s="322">
        <v>54.462907971168548</v>
      </c>
      <c r="J49" s="143">
        <v>433.01799999999997</v>
      </c>
      <c r="K49" s="325">
        <v>32.996448266691658</v>
      </c>
      <c r="L49" s="144">
        <v>21</v>
      </c>
      <c r="M49" s="145">
        <v>13</v>
      </c>
      <c r="N49" s="96">
        <v>8</v>
      </c>
      <c r="O49" s="107" t="s">
        <v>264</v>
      </c>
      <c r="P49" s="153">
        <v>28282</v>
      </c>
      <c r="Q49" s="153">
        <v>17329</v>
      </c>
      <c r="R49" s="153">
        <v>17697</v>
      </c>
      <c r="S49" s="153">
        <v>41698</v>
      </c>
      <c r="T49" s="148">
        <v>21100</v>
      </c>
      <c r="U49" s="149">
        <v>19300</v>
      </c>
      <c r="V49" s="150">
        <v>5440</v>
      </c>
      <c r="W49" s="151">
        <v>299</v>
      </c>
      <c r="X49" s="101" t="s">
        <v>65</v>
      </c>
    </row>
    <row r="50" spans="1:24" s="1" customFormat="1" ht="18" customHeight="1">
      <c r="A50" s="4" t="s">
        <v>66</v>
      </c>
      <c r="B50" s="140">
        <v>716740</v>
      </c>
      <c r="C50" s="141">
        <f>1738301/1000</f>
        <v>1738.3009999999999</v>
      </c>
      <c r="D50" s="141">
        <f>822481/1000</f>
        <v>822.48099999999999</v>
      </c>
      <c r="E50" s="141">
        <f>915820/1000</f>
        <v>915.82</v>
      </c>
      <c r="F50" s="142">
        <v>229.01599999999999</v>
      </c>
      <c r="G50" s="322">
        <v>13.174703345393002</v>
      </c>
      <c r="H50" s="143">
        <v>963.053</v>
      </c>
      <c r="I50" s="322">
        <v>55.401970084582587</v>
      </c>
      <c r="J50" s="143">
        <v>546.23199999999997</v>
      </c>
      <c r="K50" s="325">
        <v>31.423326570024408</v>
      </c>
      <c r="L50" s="144">
        <v>45</v>
      </c>
      <c r="M50" s="145">
        <v>14</v>
      </c>
      <c r="N50" s="96">
        <v>23</v>
      </c>
      <c r="O50" s="146">
        <v>8</v>
      </c>
      <c r="P50" s="153">
        <v>47879</v>
      </c>
      <c r="Q50" s="153">
        <v>32529</v>
      </c>
      <c r="R50" s="153">
        <v>33087</v>
      </c>
      <c r="S50" s="153">
        <v>79336</v>
      </c>
      <c r="T50" s="148">
        <v>67100</v>
      </c>
      <c r="U50" s="149">
        <v>21900</v>
      </c>
      <c r="V50" s="150">
        <v>13300</v>
      </c>
      <c r="W50" s="151">
        <v>6770</v>
      </c>
      <c r="X50" s="101" t="s">
        <v>66</v>
      </c>
    </row>
    <row r="51" spans="1:24" s="1" customFormat="1" ht="18" customHeight="1">
      <c r="A51" s="4" t="s">
        <v>67</v>
      </c>
      <c r="B51" s="140">
        <v>487679</v>
      </c>
      <c r="C51" s="141">
        <f>1123852/1000</f>
        <v>1123.8520000000001</v>
      </c>
      <c r="D51" s="141">
        <f>533414/1000</f>
        <v>533.41399999999999</v>
      </c>
      <c r="E51" s="141">
        <f>590438/1000</f>
        <v>590.43799999999999</v>
      </c>
      <c r="F51" s="142">
        <v>136.32900000000001</v>
      </c>
      <c r="G51" s="322">
        <v>12.130511846755622</v>
      </c>
      <c r="H51" s="143">
        <v>613.63699999999994</v>
      </c>
      <c r="I51" s="322">
        <v>54.601228631527995</v>
      </c>
      <c r="J51" s="143">
        <v>373.88600000000002</v>
      </c>
      <c r="K51" s="325">
        <v>33.268259521716381</v>
      </c>
      <c r="L51" s="144">
        <v>18</v>
      </c>
      <c r="M51" s="145">
        <v>14</v>
      </c>
      <c r="N51" s="96">
        <v>3</v>
      </c>
      <c r="O51" s="146">
        <v>1</v>
      </c>
      <c r="P51" s="153">
        <v>31954</v>
      </c>
      <c r="Q51" s="153">
        <v>18099</v>
      </c>
      <c r="R51" s="153">
        <v>18819</v>
      </c>
      <c r="S51" s="153">
        <v>39162</v>
      </c>
      <c r="T51" s="148">
        <v>39000</v>
      </c>
      <c r="U51" s="149">
        <v>8610</v>
      </c>
      <c r="V51" s="150">
        <v>4440</v>
      </c>
      <c r="W51" s="151">
        <v>2710</v>
      </c>
      <c r="X51" s="101" t="s">
        <v>67</v>
      </c>
    </row>
    <row r="52" spans="1:24" s="1" customFormat="1" ht="18" customHeight="1">
      <c r="A52" s="4" t="s">
        <v>68</v>
      </c>
      <c r="B52" s="140">
        <v>468575</v>
      </c>
      <c r="C52" s="141">
        <f>1069576/1000</f>
        <v>1069.576</v>
      </c>
      <c r="D52" s="141">
        <f>504763/1000</f>
        <v>504.76299999999998</v>
      </c>
      <c r="E52" s="141">
        <f>564813/1000</f>
        <v>564.81299999999999</v>
      </c>
      <c r="F52" s="142">
        <v>140.291</v>
      </c>
      <c r="G52" s="322">
        <v>13.116505979939713</v>
      </c>
      <c r="H52" s="143">
        <v>580.41200000000003</v>
      </c>
      <c r="I52" s="322">
        <v>54.265615533632015</v>
      </c>
      <c r="J52" s="143">
        <v>348.87299999999999</v>
      </c>
      <c r="K52" s="325">
        <v>32.617878486428268</v>
      </c>
      <c r="L52" s="144">
        <v>26</v>
      </c>
      <c r="M52" s="145">
        <v>9</v>
      </c>
      <c r="N52" s="96">
        <v>14</v>
      </c>
      <c r="O52" s="146">
        <v>3</v>
      </c>
      <c r="P52" s="153">
        <v>30940</v>
      </c>
      <c r="Q52" s="153">
        <v>20304</v>
      </c>
      <c r="R52" s="153">
        <v>20461</v>
      </c>
      <c r="S52" s="153">
        <v>44375</v>
      </c>
      <c r="T52" s="148">
        <v>34900</v>
      </c>
      <c r="U52" s="149">
        <v>25200</v>
      </c>
      <c r="V52" s="150">
        <v>4030</v>
      </c>
      <c r="W52" s="151">
        <v>1150</v>
      </c>
      <c r="X52" s="101" t="s">
        <v>68</v>
      </c>
    </row>
    <row r="53" spans="1:24" s="1" customFormat="1" ht="18" customHeight="1">
      <c r="A53" s="4" t="s">
        <v>69</v>
      </c>
      <c r="B53" s="140">
        <v>725855</v>
      </c>
      <c r="C53" s="141">
        <f>1588256/1000</f>
        <v>1588.2560000000001</v>
      </c>
      <c r="D53" s="141">
        <f>748306/1000</f>
        <v>748.30600000000004</v>
      </c>
      <c r="E53" s="141">
        <f>839950/1000</f>
        <v>839.95</v>
      </c>
      <c r="F53" s="142">
        <v>207.602</v>
      </c>
      <c r="G53" s="322">
        <v>13.071066629057279</v>
      </c>
      <c r="H53" s="143">
        <v>863.89800000000002</v>
      </c>
      <c r="I53" s="322">
        <v>54.392868655934556</v>
      </c>
      <c r="J53" s="143">
        <v>516.75599999999997</v>
      </c>
      <c r="K53" s="325">
        <v>32.536064715008159</v>
      </c>
      <c r="L53" s="144">
        <v>43</v>
      </c>
      <c r="M53" s="145">
        <v>19</v>
      </c>
      <c r="N53" s="96">
        <v>20</v>
      </c>
      <c r="O53" s="146">
        <v>4</v>
      </c>
      <c r="P53" s="153">
        <v>48360</v>
      </c>
      <c r="Q53" s="153">
        <v>28199</v>
      </c>
      <c r="R53" s="153">
        <v>28965</v>
      </c>
      <c r="S53" s="153">
        <v>55146</v>
      </c>
      <c r="T53" s="148">
        <v>36100</v>
      </c>
      <c r="U53" s="149">
        <v>62900</v>
      </c>
      <c r="V53" s="150">
        <v>12800</v>
      </c>
      <c r="W53" s="151">
        <v>3000</v>
      </c>
      <c r="X53" s="101" t="s">
        <v>69</v>
      </c>
    </row>
    <row r="54" spans="1:24" s="1" customFormat="1" ht="18" customHeight="1">
      <c r="A54" s="6" t="s">
        <v>70</v>
      </c>
      <c r="B54" s="154">
        <v>613294</v>
      </c>
      <c r="C54" s="155">
        <f>1467480/1000</f>
        <v>1467.48</v>
      </c>
      <c r="D54" s="141">
        <f>722812/1000</f>
        <v>722.81200000000001</v>
      </c>
      <c r="E54" s="141">
        <f>744668/1000</f>
        <v>744.66800000000001</v>
      </c>
      <c r="F54" s="142">
        <v>243.94300000000001</v>
      </c>
      <c r="G54" s="322">
        <v>16.623258920053424</v>
      </c>
      <c r="H54" s="143">
        <v>892.13300000000004</v>
      </c>
      <c r="I54" s="322">
        <v>60.793537220268753</v>
      </c>
      <c r="J54" s="143">
        <v>331.404</v>
      </c>
      <c r="K54" s="325">
        <v>22.583203859677813</v>
      </c>
      <c r="L54" s="156">
        <v>41</v>
      </c>
      <c r="M54" s="157">
        <v>11</v>
      </c>
      <c r="N54" s="158">
        <v>11</v>
      </c>
      <c r="O54" s="159">
        <v>19</v>
      </c>
      <c r="P54" s="153">
        <v>14747</v>
      </c>
      <c r="Q54" s="153">
        <v>10674</v>
      </c>
      <c r="R54" s="153">
        <v>11081</v>
      </c>
      <c r="S54" s="153">
        <v>18207</v>
      </c>
      <c r="T54" s="148">
        <v>817</v>
      </c>
      <c r="U54" s="149">
        <v>28300</v>
      </c>
      <c r="V54" s="150">
        <v>1880</v>
      </c>
      <c r="W54" s="151">
        <v>5940</v>
      </c>
      <c r="X54" s="103" t="s">
        <v>70</v>
      </c>
    </row>
    <row r="55" spans="1:24" s="1" customFormat="1" ht="13.5" customHeight="1">
      <c r="A55" s="334" t="s">
        <v>13</v>
      </c>
      <c r="B55" s="337" t="s">
        <v>279</v>
      </c>
      <c r="C55" s="389"/>
      <c r="D55" s="389"/>
      <c r="E55" s="389"/>
      <c r="F55" s="389"/>
      <c r="G55" s="389"/>
      <c r="H55" s="389"/>
      <c r="I55" s="389"/>
      <c r="J55" s="389"/>
      <c r="K55" s="390"/>
      <c r="L55" s="382" t="s">
        <v>271</v>
      </c>
      <c r="M55" s="383"/>
      <c r="N55" s="383"/>
      <c r="O55" s="384"/>
      <c r="P55" s="337" t="s">
        <v>267</v>
      </c>
      <c r="Q55" s="338"/>
      <c r="R55" s="338"/>
      <c r="S55" s="339"/>
      <c r="T55" s="343" t="s">
        <v>268</v>
      </c>
      <c r="U55" s="345"/>
      <c r="V55" s="345"/>
      <c r="W55" s="345"/>
      <c r="X55" s="366"/>
    </row>
    <row r="56" spans="1:24" s="1" customFormat="1" ht="22.5" customHeight="1">
      <c r="A56" s="335"/>
      <c r="B56" s="391"/>
      <c r="C56" s="392"/>
      <c r="D56" s="392"/>
      <c r="E56" s="392"/>
      <c r="F56" s="392"/>
      <c r="G56" s="392"/>
      <c r="H56" s="392"/>
      <c r="I56" s="392"/>
      <c r="J56" s="392"/>
      <c r="K56" s="393"/>
      <c r="L56" s="374"/>
      <c r="M56" s="375"/>
      <c r="N56" s="375"/>
      <c r="O56" s="376"/>
      <c r="P56" s="340"/>
      <c r="Q56" s="341"/>
      <c r="R56" s="341"/>
      <c r="S56" s="342"/>
      <c r="T56" s="346"/>
      <c r="U56" s="347"/>
      <c r="V56" s="347"/>
      <c r="W56" s="347"/>
      <c r="X56" s="367"/>
    </row>
    <row r="57" spans="1:24" s="1" customFormat="1" ht="13.5" customHeight="1">
      <c r="A57" s="387" t="s">
        <v>284</v>
      </c>
      <c r="B57" s="387"/>
      <c r="C57" s="387"/>
      <c r="D57" s="387"/>
      <c r="E57" s="387"/>
      <c r="F57" s="387"/>
      <c r="G57" s="387"/>
      <c r="H57" s="387"/>
      <c r="I57" s="95"/>
      <c r="J57" s="95"/>
      <c r="K57" s="95"/>
      <c r="L57" s="94"/>
      <c r="M57" s="387" t="s">
        <v>285</v>
      </c>
      <c r="N57" s="387"/>
      <c r="O57" s="387"/>
      <c r="P57" s="387"/>
      <c r="Q57" s="387"/>
      <c r="R57" s="387"/>
      <c r="S57" s="387"/>
      <c r="T57" s="387"/>
      <c r="U57" s="388"/>
      <c r="V57" s="96"/>
      <c r="W57" s="96"/>
      <c r="X57" s="90"/>
    </row>
    <row r="58" spans="1:24">
      <c r="I58" s="97"/>
      <c r="J58" s="97"/>
      <c r="K58" s="97"/>
      <c r="L58" s="98"/>
      <c r="M58" s="98"/>
      <c r="N58" s="98"/>
      <c r="O58" s="98"/>
    </row>
    <row r="59" spans="1:24" ht="19">
      <c r="B59" s="97"/>
      <c r="C59" s="99"/>
      <c r="D59" s="99"/>
      <c r="E59" s="99"/>
      <c r="F59" s="98"/>
      <c r="H59" s="98"/>
      <c r="J59" s="98"/>
      <c r="K59" s="364" t="s">
        <v>71</v>
      </c>
      <c r="L59" s="365"/>
      <c r="M59" s="365"/>
      <c r="N59" s="93"/>
      <c r="O59" s="93"/>
    </row>
  </sheetData>
  <mergeCells count="29">
    <mergeCell ref="K59:M59"/>
    <mergeCell ref="X55:X56"/>
    <mergeCell ref="L2:O4"/>
    <mergeCell ref="X2:X5"/>
    <mergeCell ref="R3:R5"/>
    <mergeCell ref="T3:W3"/>
    <mergeCell ref="L55:O56"/>
    <mergeCell ref="T4:T5"/>
    <mergeCell ref="F2:K2"/>
    <mergeCell ref="W4:W5"/>
    <mergeCell ref="U4:U5"/>
    <mergeCell ref="J3:K4"/>
    <mergeCell ref="H3:I4"/>
    <mergeCell ref="A57:H57"/>
    <mergeCell ref="M57:U57"/>
    <mergeCell ref="B55:K56"/>
    <mergeCell ref="A1:X1"/>
    <mergeCell ref="A55:A56"/>
    <mergeCell ref="P2:W2"/>
    <mergeCell ref="P55:S56"/>
    <mergeCell ref="V4:V5"/>
    <mergeCell ref="T55:W56"/>
    <mergeCell ref="A2:A5"/>
    <mergeCell ref="F3:G4"/>
    <mergeCell ref="C2:E4"/>
    <mergeCell ref="B2:B5"/>
    <mergeCell ref="Q3:Q5"/>
    <mergeCell ref="S3:S5"/>
    <mergeCell ref="P3:P5"/>
  </mergeCells>
  <phoneticPr fontId="4"/>
  <printOptions horizontalCentered="1"/>
  <pageMargins left="0.23622047244094491" right="0.23622047244094491" top="0.35433070866141736" bottom="0.74803149606299213" header="0.31496062992125984" footer="0.31496062992125984"/>
  <pageSetup paperSize="9" scale="76" fitToWidth="0" orientation="portrait" cellComments="asDisplayed" r:id="rId1"/>
  <headerFooter>
    <oddHeader>&amp;A</oddHeader>
    <oddFooter>&amp;Z&amp;F</oddFooter>
  </headerFooter>
  <colBreaks count="1" manualBreakCount="1">
    <brk id="1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C811-A9C9-47CE-9021-A07B2E491CD6}">
  <dimension ref="A1:R64"/>
  <sheetViews>
    <sheetView workbookViewId="0">
      <selection sqref="A1:R1"/>
    </sheetView>
  </sheetViews>
  <sheetFormatPr defaultColWidth="9" defaultRowHeight="13"/>
  <cols>
    <col min="1" max="1" width="9.08984375" style="232" customWidth="1"/>
    <col min="2" max="2" width="11.6328125" style="200" customWidth="1"/>
    <col min="3" max="3" width="13.36328125" style="200" customWidth="1"/>
    <col min="4" max="4" width="12.1796875" style="200" customWidth="1"/>
    <col min="5" max="5" width="9.90625" style="200" customWidth="1"/>
    <col min="6" max="6" width="10.08984375" style="200" customWidth="1"/>
    <col min="7" max="7" width="11.08984375" style="200" customWidth="1"/>
    <col min="8" max="8" width="13" style="200" customWidth="1"/>
    <col min="9" max="9" width="10.36328125" style="200" customWidth="1"/>
    <col min="10" max="10" width="11.36328125" style="200" customWidth="1"/>
    <col min="11" max="11" width="15.08984375" style="200" customWidth="1"/>
    <col min="12" max="13" width="11.6328125" style="200" customWidth="1"/>
    <col min="14" max="14" width="14.6328125" style="200" customWidth="1"/>
    <col min="15" max="16" width="11.6328125" style="200" customWidth="1"/>
    <col min="17" max="17" width="15.08984375" style="200" customWidth="1"/>
    <col min="18" max="18" width="11.6328125" style="200" customWidth="1"/>
    <col min="19" max="16384" width="9" style="232"/>
  </cols>
  <sheetData>
    <row r="1" spans="1:18" ht="24.75" customHeight="1" thickBot="1">
      <c r="A1" s="408" t="s">
        <v>286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</row>
    <row r="2" spans="1:18" ht="14.25" customHeight="1" thickTop="1">
      <c r="A2" s="409" t="s">
        <v>287</v>
      </c>
      <c r="B2" s="411" t="s">
        <v>288</v>
      </c>
      <c r="C2" s="412"/>
      <c r="D2" s="412"/>
      <c r="E2" s="412"/>
      <c r="F2" s="412"/>
      <c r="G2" s="368" t="s">
        <v>289</v>
      </c>
      <c r="H2" s="370"/>
      <c r="I2" s="368" t="s">
        <v>290</v>
      </c>
      <c r="J2" s="369"/>
      <c r="K2" s="370"/>
      <c r="L2" s="413" t="s">
        <v>291</v>
      </c>
      <c r="M2" s="336"/>
      <c r="N2" s="336"/>
      <c r="O2" s="336"/>
      <c r="P2" s="336"/>
      <c r="Q2" s="414"/>
      <c r="R2" s="415" t="s">
        <v>287</v>
      </c>
    </row>
    <row r="3" spans="1:18" ht="13.5" customHeight="1">
      <c r="A3" s="410"/>
      <c r="B3" s="321" t="s">
        <v>292</v>
      </c>
      <c r="C3" s="312" t="s">
        <v>293</v>
      </c>
      <c r="D3" s="208" t="s">
        <v>294</v>
      </c>
      <c r="E3" s="208" t="s">
        <v>295</v>
      </c>
      <c r="F3" s="307" t="s">
        <v>296</v>
      </c>
      <c r="G3" s="371"/>
      <c r="H3" s="373"/>
      <c r="I3" s="371"/>
      <c r="J3" s="372"/>
      <c r="K3" s="373"/>
      <c r="L3" s="382" t="s">
        <v>297</v>
      </c>
      <c r="M3" s="383"/>
      <c r="N3" s="384"/>
      <c r="O3" s="351" t="s">
        <v>298</v>
      </c>
      <c r="P3" s="351"/>
      <c r="Q3" s="352"/>
      <c r="R3" s="416"/>
    </row>
    <row r="4" spans="1:18" ht="13.5" customHeight="1">
      <c r="A4" s="410"/>
      <c r="B4" s="316" t="s">
        <v>299</v>
      </c>
      <c r="C4" s="316" t="s">
        <v>300</v>
      </c>
      <c r="D4" s="210" t="s">
        <v>301</v>
      </c>
      <c r="E4" s="210" t="s">
        <v>302</v>
      </c>
      <c r="F4" s="211" t="s">
        <v>303</v>
      </c>
      <c r="G4" s="374"/>
      <c r="H4" s="376"/>
      <c r="I4" s="374"/>
      <c r="J4" s="375"/>
      <c r="K4" s="376"/>
      <c r="L4" s="374"/>
      <c r="M4" s="375"/>
      <c r="N4" s="376"/>
      <c r="O4" s="357"/>
      <c r="P4" s="357"/>
      <c r="Q4" s="350"/>
      <c r="R4" s="416"/>
    </row>
    <row r="5" spans="1:18" ht="13.5" customHeight="1">
      <c r="A5" s="342"/>
      <c r="B5" s="317" t="s">
        <v>304</v>
      </c>
      <c r="C5" s="317" t="s">
        <v>305</v>
      </c>
      <c r="D5" s="212" t="s">
        <v>306</v>
      </c>
      <c r="E5" s="212" t="s">
        <v>306</v>
      </c>
      <c r="F5" s="308" t="s">
        <v>306</v>
      </c>
      <c r="G5" s="309" t="s">
        <v>307</v>
      </c>
      <c r="H5" s="317" t="s">
        <v>308</v>
      </c>
      <c r="I5" s="320" t="s">
        <v>309</v>
      </c>
      <c r="J5" s="317" t="s">
        <v>308</v>
      </c>
      <c r="K5" s="311" t="s">
        <v>310</v>
      </c>
      <c r="L5" s="309" t="s">
        <v>309</v>
      </c>
      <c r="M5" s="318" t="s">
        <v>311</v>
      </c>
      <c r="N5" s="309" t="s">
        <v>312</v>
      </c>
      <c r="O5" s="319" t="s">
        <v>309</v>
      </c>
      <c r="P5" s="317" t="s">
        <v>313</v>
      </c>
      <c r="Q5" s="310" t="s">
        <v>314</v>
      </c>
      <c r="R5" s="417"/>
    </row>
    <row r="6" spans="1:18" ht="22" customHeight="1">
      <c r="A6" s="167"/>
      <c r="B6" s="104" t="s">
        <v>315</v>
      </c>
      <c r="C6" s="104" t="s">
        <v>316</v>
      </c>
      <c r="D6" s="111" t="s">
        <v>317</v>
      </c>
      <c r="E6" s="111" t="s">
        <v>318</v>
      </c>
      <c r="F6" s="111" t="s">
        <v>318</v>
      </c>
      <c r="G6" s="105" t="s">
        <v>319</v>
      </c>
      <c r="H6" s="107" t="s">
        <v>320</v>
      </c>
      <c r="I6" s="104" t="s">
        <v>319</v>
      </c>
      <c r="J6" s="104" t="s">
        <v>320</v>
      </c>
      <c r="K6" s="104" t="s">
        <v>321</v>
      </c>
      <c r="L6" s="105" t="s">
        <v>319</v>
      </c>
      <c r="M6" s="106" t="s">
        <v>320</v>
      </c>
      <c r="N6" s="106" t="s">
        <v>321</v>
      </c>
      <c r="O6" s="168" t="s">
        <v>319</v>
      </c>
      <c r="P6" s="106" t="s">
        <v>320</v>
      </c>
      <c r="Q6" s="107" t="s">
        <v>321</v>
      </c>
      <c r="R6" s="169"/>
    </row>
    <row r="7" spans="1:18" ht="18" customHeight="1">
      <c r="A7" s="329" t="s">
        <v>11</v>
      </c>
      <c r="B7" s="214">
        <v>7563000</v>
      </c>
      <c r="C7" s="214">
        <v>24770166</v>
      </c>
      <c r="D7" s="215">
        <v>21883</v>
      </c>
      <c r="E7" s="216">
        <v>88938</v>
      </c>
      <c r="F7" s="216">
        <v>33215</v>
      </c>
      <c r="G7" s="170">
        <v>5340783</v>
      </c>
      <c r="H7" s="171">
        <v>56872826</v>
      </c>
      <c r="I7" s="222">
        <v>181877</v>
      </c>
      <c r="J7" s="222">
        <v>7717646</v>
      </c>
      <c r="K7" s="330">
        <v>322533418</v>
      </c>
      <c r="L7" s="170">
        <v>278013</v>
      </c>
      <c r="M7" s="172">
        <v>3080805</v>
      </c>
      <c r="N7" s="172">
        <v>406820294</v>
      </c>
      <c r="O7" s="170">
        <v>809124</v>
      </c>
      <c r="P7" s="172">
        <v>6355641</v>
      </c>
      <c r="Q7" s="171">
        <v>138015622</v>
      </c>
      <c r="R7" s="173" t="s">
        <v>11</v>
      </c>
    </row>
    <row r="8" spans="1:18" ht="18" customHeight="1">
      <c r="A8" s="190" t="s">
        <v>12</v>
      </c>
      <c r="B8" s="217">
        <v>573700</v>
      </c>
      <c r="C8" s="217">
        <v>5503768</v>
      </c>
      <c r="D8" s="218">
        <v>3329</v>
      </c>
      <c r="E8" s="219">
        <v>12558</v>
      </c>
      <c r="F8" s="220">
        <v>5368</v>
      </c>
      <c r="G8" s="174">
        <v>224718</v>
      </c>
      <c r="H8" s="175">
        <v>2165925</v>
      </c>
      <c r="I8" s="223">
        <v>4982</v>
      </c>
      <c r="J8" s="223">
        <v>168703</v>
      </c>
      <c r="K8" s="224">
        <v>6048894</v>
      </c>
      <c r="L8" s="174">
        <v>12079</v>
      </c>
      <c r="M8" s="176">
        <v>105297</v>
      </c>
      <c r="N8" s="176">
        <v>11691126</v>
      </c>
      <c r="O8" s="174">
        <v>34203</v>
      </c>
      <c r="P8" s="176">
        <v>285655</v>
      </c>
      <c r="Q8" s="175">
        <v>6308491</v>
      </c>
      <c r="R8" s="177" t="s">
        <v>12</v>
      </c>
    </row>
    <row r="9" spans="1:18" ht="18" customHeight="1">
      <c r="A9" s="190" t="s">
        <v>322</v>
      </c>
      <c r="B9" s="217">
        <v>256900</v>
      </c>
      <c r="C9" s="217">
        <v>625842</v>
      </c>
      <c r="D9" s="218">
        <v>943</v>
      </c>
      <c r="E9" s="219">
        <v>3138</v>
      </c>
      <c r="F9" s="220">
        <v>1162</v>
      </c>
      <c r="G9" s="174">
        <v>58116</v>
      </c>
      <c r="H9" s="175">
        <v>498988</v>
      </c>
      <c r="I9" s="223">
        <v>1342</v>
      </c>
      <c r="J9" s="223">
        <v>56877</v>
      </c>
      <c r="K9" s="224">
        <v>1727106</v>
      </c>
      <c r="L9" s="174">
        <v>2914</v>
      </c>
      <c r="M9" s="176">
        <v>24513</v>
      </c>
      <c r="N9" s="176">
        <v>1843036</v>
      </c>
      <c r="O9" s="174">
        <v>10552</v>
      </c>
      <c r="P9" s="176">
        <v>71428</v>
      </c>
      <c r="Q9" s="175">
        <v>1430467</v>
      </c>
      <c r="R9" s="177" t="s">
        <v>322</v>
      </c>
    </row>
    <row r="10" spans="1:18" ht="18" customHeight="1">
      <c r="A10" s="190" t="s">
        <v>323</v>
      </c>
      <c r="B10" s="217">
        <v>268600</v>
      </c>
      <c r="C10" s="217">
        <v>1152364</v>
      </c>
      <c r="D10" s="218">
        <v>1519</v>
      </c>
      <c r="E10" s="219">
        <v>2676</v>
      </c>
      <c r="F10" s="220">
        <v>912</v>
      </c>
      <c r="G10" s="174">
        <v>58415</v>
      </c>
      <c r="H10" s="175">
        <v>525264</v>
      </c>
      <c r="I10" s="223">
        <v>2055</v>
      </c>
      <c r="J10" s="223">
        <v>87639</v>
      </c>
      <c r="K10" s="224">
        <v>2626206</v>
      </c>
      <c r="L10" s="174">
        <v>2807</v>
      </c>
      <c r="M10" s="176">
        <v>23109</v>
      </c>
      <c r="N10" s="176">
        <v>1963950</v>
      </c>
      <c r="O10" s="174">
        <v>10377</v>
      </c>
      <c r="P10" s="176">
        <v>67760</v>
      </c>
      <c r="Q10" s="175">
        <v>1368835</v>
      </c>
      <c r="R10" s="177" t="s">
        <v>323</v>
      </c>
    </row>
    <row r="11" spans="1:18" ht="18" customHeight="1">
      <c r="A11" s="190" t="s">
        <v>324</v>
      </c>
      <c r="B11" s="217">
        <v>353400</v>
      </c>
      <c r="C11" s="217">
        <v>407710</v>
      </c>
      <c r="D11" s="218">
        <v>610</v>
      </c>
      <c r="E11" s="219">
        <v>1932</v>
      </c>
      <c r="F11" s="220">
        <v>725</v>
      </c>
      <c r="G11" s="174">
        <v>97974</v>
      </c>
      <c r="H11" s="175">
        <v>1006886</v>
      </c>
      <c r="I11" s="223">
        <v>2528</v>
      </c>
      <c r="J11" s="223">
        <v>116847</v>
      </c>
      <c r="K11" s="224">
        <v>4533565</v>
      </c>
      <c r="L11" s="174">
        <v>6858</v>
      </c>
      <c r="M11" s="176">
        <v>64898</v>
      </c>
      <c r="N11" s="176">
        <v>8782579</v>
      </c>
      <c r="O11" s="174">
        <v>15245</v>
      </c>
      <c r="P11" s="176">
        <v>119642</v>
      </c>
      <c r="Q11" s="175">
        <v>2772330</v>
      </c>
      <c r="R11" s="177" t="s">
        <v>324</v>
      </c>
    </row>
    <row r="12" spans="1:18" ht="18" customHeight="1">
      <c r="A12" s="190" t="s">
        <v>325</v>
      </c>
      <c r="B12" s="217">
        <v>501200</v>
      </c>
      <c r="C12" s="217">
        <v>832517</v>
      </c>
      <c r="D12" s="218">
        <v>1289</v>
      </c>
      <c r="E12" s="219">
        <v>1931</v>
      </c>
      <c r="F12" s="220">
        <v>729</v>
      </c>
      <c r="G12" s="174">
        <v>48769</v>
      </c>
      <c r="H12" s="175">
        <v>413719</v>
      </c>
      <c r="I12" s="223">
        <v>1648</v>
      </c>
      <c r="J12" s="223">
        <v>61753</v>
      </c>
      <c r="K12" s="224">
        <v>1286172</v>
      </c>
      <c r="L12" s="174">
        <v>2229</v>
      </c>
      <c r="M12" s="176">
        <v>16102</v>
      </c>
      <c r="N12" s="176">
        <v>1130453</v>
      </c>
      <c r="O12" s="174">
        <v>9069</v>
      </c>
      <c r="P12" s="176">
        <v>58207</v>
      </c>
      <c r="Q12" s="175">
        <v>1125614</v>
      </c>
      <c r="R12" s="177" t="s">
        <v>325</v>
      </c>
    </row>
    <row r="13" spans="1:18" ht="18" customHeight="1">
      <c r="A13" s="190" t="s">
        <v>326</v>
      </c>
      <c r="B13" s="217">
        <v>393800</v>
      </c>
      <c r="C13" s="217">
        <v>644986</v>
      </c>
      <c r="D13" s="218">
        <v>290</v>
      </c>
      <c r="E13" s="219">
        <v>2557</v>
      </c>
      <c r="F13" s="220">
        <v>1061</v>
      </c>
      <c r="G13" s="174">
        <v>55778</v>
      </c>
      <c r="H13" s="175">
        <v>475435</v>
      </c>
      <c r="I13" s="225">
        <v>2339</v>
      </c>
      <c r="J13" s="223">
        <v>98407</v>
      </c>
      <c r="K13" s="224">
        <v>2845633</v>
      </c>
      <c r="L13" s="174">
        <v>2611</v>
      </c>
      <c r="M13" s="176">
        <v>20545</v>
      </c>
      <c r="N13" s="176">
        <v>1328494</v>
      </c>
      <c r="O13" s="174">
        <v>9862</v>
      </c>
      <c r="P13" s="176">
        <v>58143</v>
      </c>
      <c r="Q13" s="175">
        <v>1159669</v>
      </c>
      <c r="R13" s="177" t="s">
        <v>326</v>
      </c>
    </row>
    <row r="14" spans="1:18" ht="18" customHeight="1">
      <c r="A14" s="190" t="s">
        <v>327</v>
      </c>
      <c r="B14" s="217">
        <v>335800</v>
      </c>
      <c r="C14" s="217">
        <v>942413</v>
      </c>
      <c r="D14" s="218">
        <v>833</v>
      </c>
      <c r="E14" s="219">
        <v>2086</v>
      </c>
      <c r="F14" s="220">
        <v>748</v>
      </c>
      <c r="G14" s="174">
        <v>85960</v>
      </c>
      <c r="H14" s="175">
        <v>806130</v>
      </c>
      <c r="I14" s="225">
        <v>3485</v>
      </c>
      <c r="J14" s="223">
        <v>158688</v>
      </c>
      <c r="K14" s="224">
        <v>5088966</v>
      </c>
      <c r="L14" s="174">
        <v>4077</v>
      </c>
      <c r="M14" s="176">
        <v>32365</v>
      </c>
      <c r="N14" s="176">
        <v>2522021</v>
      </c>
      <c r="O14" s="174">
        <v>14551</v>
      </c>
      <c r="P14" s="176">
        <v>97391</v>
      </c>
      <c r="Q14" s="175">
        <v>2109721</v>
      </c>
      <c r="R14" s="177" t="s">
        <v>327</v>
      </c>
    </row>
    <row r="15" spans="1:18" ht="18" customHeight="1">
      <c r="A15" s="190" t="s">
        <v>328</v>
      </c>
      <c r="B15" s="217">
        <v>344800</v>
      </c>
      <c r="C15" s="217">
        <v>198682</v>
      </c>
      <c r="D15" s="218">
        <v>454</v>
      </c>
      <c r="E15" s="219">
        <v>4302</v>
      </c>
      <c r="F15" s="220">
        <v>1470</v>
      </c>
      <c r="G15" s="174">
        <v>115007</v>
      </c>
      <c r="H15" s="175">
        <v>1233534</v>
      </c>
      <c r="I15" s="225">
        <v>4927</v>
      </c>
      <c r="J15" s="223">
        <v>272191</v>
      </c>
      <c r="K15" s="224">
        <v>12581236</v>
      </c>
      <c r="L15" s="174">
        <v>5290</v>
      </c>
      <c r="M15" s="176">
        <v>42908</v>
      </c>
      <c r="N15" s="176">
        <v>3812347</v>
      </c>
      <c r="O15" s="174">
        <v>19246</v>
      </c>
      <c r="P15" s="176">
        <v>150039</v>
      </c>
      <c r="Q15" s="175">
        <v>3056437</v>
      </c>
      <c r="R15" s="177" t="s">
        <v>328</v>
      </c>
    </row>
    <row r="16" spans="1:18" ht="18" customHeight="1">
      <c r="A16" s="190" t="s">
        <v>329</v>
      </c>
      <c r="B16" s="217">
        <v>300900</v>
      </c>
      <c r="C16" s="217">
        <v>339113</v>
      </c>
      <c r="D16" s="218">
        <v>581</v>
      </c>
      <c r="E16" s="219">
        <v>2859</v>
      </c>
      <c r="F16" s="220">
        <v>1055</v>
      </c>
      <c r="G16" s="174">
        <v>86088</v>
      </c>
      <c r="H16" s="175">
        <v>878756</v>
      </c>
      <c r="I16" s="225">
        <v>4039</v>
      </c>
      <c r="J16" s="223">
        <v>203444</v>
      </c>
      <c r="K16" s="224">
        <v>8966422</v>
      </c>
      <c r="L16" s="174">
        <v>4300</v>
      </c>
      <c r="M16" s="176">
        <v>34893</v>
      </c>
      <c r="N16" s="176">
        <v>3214132</v>
      </c>
      <c r="O16" s="174">
        <v>14072</v>
      </c>
      <c r="P16" s="176">
        <v>102873</v>
      </c>
      <c r="Q16" s="175">
        <v>2205029</v>
      </c>
      <c r="R16" s="177" t="s">
        <v>329</v>
      </c>
    </row>
    <row r="17" spans="1:18" ht="18" customHeight="1">
      <c r="A17" s="190" t="s">
        <v>330</v>
      </c>
      <c r="B17" s="217">
        <v>73300</v>
      </c>
      <c r="C17" s="217">
        <v>409098</v>
      </c>
      <c r="D17" s="218">
        <v>211</v>
      </c>
      <c r="E17" s="219">
        <v>2361</v>
      </c>
      <c r="F17" s="220">
        <v>897</v>
      </c>
      <c r="G17" s="174">
        <v>90231</v>
      </c>
      <c r="H17" s="175">
        <v>900921</v>
      </c>
      <c r="I17" s="225">
        <v>4480</v>
      </c>
      <c r="J17" s="223">
        <v>210730</v>
      </c>
      <c r="K17" s="224">
        <v>8981948</v>
      </c>
      <c r="L17" s="174">
        <v>4341</v>
      </c>
      <c r="M17" s="176">
        <v>38004</v>
      </c>
      <c r="N17" s="176">
        <v>4877271</v>
      </c>
      <c r="O17" s="174">
        <v>14186</v>
      </c>
      <c r="P17" s="176">
        <v>103701</v>
      </c>
      <c r="Q17" s="175">
        <v>2152032</v>
      </c>
      <c r="R17" s="177" t="s">
        <v>330</v>
      </c>
    </row>
    <row r="18" spans="1:18" ht="18" customHeight="1">
      <c r="A18" s="190" t="s">
        <v>331</v>
      </c>
      <c r="B18" s="217">
        <v>152400</v>
      </c>
      <c r="C18" s="217">
        <v>119466</v>
      </c>
      <c r="D18" s="218">
        <v>72</v>
      </c>
      <c r="E18" s="219">
        <v>1678</v>
      </c>
      <c r="F18" s="220">
        <v>627</v>
      </c>
      <c r="G18" s="174">
        <v>240542</v>
      </c>
      <c r="H18" s="175">
        <v>2575544</v>
      </c>
      <c r="I18" s="225">
        <v>10490</v>
      </c>
      <c r="J18" s="223">
        <v>389487</v>
      </c>
      <c r="K18" s="224">
        <v>13758165</v>
      </c>
      <c r="L18" s="174">
        <v>10649</v>
      </c>
      <c r="M18" s="176">
        <v>104840</v>
      </c>
      <c r="N18" s="176">
        <v>10037397</v>
      </c>
      <c r="O18" s="174">
        <v>34896</v>
      </c>
      <c r="P18" s="176">
        <v>329181</v>
      </c>
      <c r="Q18" s="175">
        <v>6871613</v>
      </c>
      <c r="R18" s="177" t="s">
        <v>331</v>
      </c>
    </row>
    <row r="19" spans="1:18" ht="18" customHeight="1">
      <c r="A19" s="190" t="s">
        <v>332</v>
      </c>
      <c r="B19" s="217">
        <v>277800</v>
      </c>
      <c r="C19" s="217">
        <v>160891</v>
      </c>
      <c r="D19" s="218">
        <v>92</v>
      </c>
      <c r="E19" s="219">
        <v>3859</v>
      </c>
      <c r="F19" s="220">
        <v>1233</v>
      </c>
      <c r="G19" s="174">
        <v>188740</v>
      </c>
      <c r="H19" s="175">
        <v>2114259</v>
      </c>
      <c r="I19" s="225">
        <v>4753</v>
      </c>
      <c r="J19" s="223">
        <v>208486</v>
      </c>
      <c r="K19" s="224">
        <v>12518316</v>
      </c>
      <c r="L19" s="174">
        <v>8088</v>
      </c>
      <c r="M19" s="176">
        <v>71805</v>
      </c>
      <c r="N19" s="176">
        <v>6553174</v>
      </c>
      <c r="O19" s="174">
        <v>29723</v>
      </c>
      <c r="P19" s="176">
        <v>282754</v>
      </c>
      <c r="Q19" s="175">
        <v>6010050</v>
      </c>
      <c r="R19" s="177" t="s">
        <v>332</v>
      </c>
    </row>
    <row r="20" spans="1:18" ht="18" customHeight="1">
      <c r="A20" s="190" t="s">
        <v>333</v>
      </c>
      <c r="B20" s="217">
        <v>486</v>
      </c>
      <c r="C20" s="217">
        <v>77125</v>
      </c>
      <c r="D20" s="218">
        <v>32</v>
      </c>
      <c r="E20" s="219">
        <v>234</v>
      </c>
      <c r="F20" s="220">
        <v>96</v>
      </c>
      <c r="G20" s="174">
        <v>621671</v>
      </c>
      <c r="H20" s="175">
        <v>9005511</v>
      </c>
      <c r="I20" s="225">
        <v>9887</v>
      </c>
      <c r="J20" s="223">
        <v>245851</v>
      </c>
      <c r="K20" s="224">
        <v>7160755</v>
      </c>
      <c r="L20" s="174">
        <v>37280</v>
      </c>
      <c r="M20" s="176">
        <v>788982</v>
      </c>
      <c r="N20" s="176">
        <v>166915871</v>
      </c>
      <c r="O20" s="174">
        <v>72256</v>
      </c>
      <c r="P20" s="176">
        <v>683279</v>
      </c>
      <c r="Q20" s="175">
        <v>19086829</v>
      </c>
      <c r="R20" s="177" t="s">
        <v>333</v>
      </c>
    </row>
    <row r="21" spans="1:18" ht="18" customHeight="1">
      <c r="A21" s="190" t="s">
        <v>334</v>
      </c>
      <c r="B21" s="217">
        <v>14400</v>
      </c>
      <c r="C21" s="217">
        <v>93524</v>
      </c>
      <c r="D21" s="218">
        <v>16</v>
      </c>
      <c r="E21" s="219">
        <v>655</v>
      </c>
      <c r="F21" s="220">
        <v>250</v>
      </c>
      <c r="G21" s="174">
        <v>287942</v>
      </c>
      <c r="H21" s="175">
        <v>3464316</v>
      </c>
      <c r="I21" s="225">
        <v>7267</v>
      </c>
      <c r="J21" s="223">
        <v>356780</v>
      </c>
      <c r="K21" s="224">
        <v>17746139</v>
      </c>
      <c r="L21" s="174">
        <v>11011</v>
      </c>
      <c r="M21" s="176">
        <v>123838</v>
      </c>
      <c r="N21" s="176">
        <v>12125252</v>
      </c>
      <c r="O21" s="174">
        <v>40188</v>
      </c>
      <c r="P21" s="176">
        <v>406585</v>
      </c>
      <c r="Q21" s="175">
        <v>8883704</v>
      </c>
      <c r="R21" s="177" t="s">
        <v>334</v>
      </c>
    </row>
    <row r="22" spans="1:18" ht="18" customHeight="1">
      <c r="A22" s="190" t="s">
        <v>335</v>
      </c>
      <c r="B22" s="217">
        <v>620000</v>
      </c>
      <c r="C22" s="217">
        <v>802757</v>
      </c>
      <c r="D22" s="218">
        <v>119</v>
      </c>
      <c r="E22" s="219">
        <v>2494</v>
      </c>
      <c r="F22" s="220">
        <v>938</v>
      </c>
      <c r="G22" s="174">
        <v>112948</v>
      </c>
      <c r="H22" s="175">
        <v>1025630</v>
      </c>
      <c r="I22" s="225">
        <v>5053</v>
      </c>
      <c r="J22" s="223">
        <v>186900</v>
      </c>
      <c r="K22" s="224">
        <v>4958899</v>
      </c>
      <c r="L22" s="174">
        <v>5932</v>
      </c>
      <c r="M22" s="176">
        <v>53451</v>
      </c>
      <c r="N22" s="176">
        <v>4055941</v>
      </c>
      <c r="O22" s="174">
        <v>19010</v>
      </c>
      <c r="P22" s="176">
        <v>127923</v>
      </c>
      <c r="Q22" s="175">
        <v>2528775</v>
      </c>
      <c r="R22" s="177" t="s">
        <v>335</v>
      </c>
    </row>
    <row r="23" spans="1:18" ht="18" customHeight="1">
      <c r="A23" s="190" t="s">
        <v>336</v>
      </c>
      <c r="B23" s="217">
        <v>200000</v>
      </c>
      <c r="C23" s="217">
        <v>240531</v>
      </c>
      <c r="D23" s="218">
        <v>82</v>
      </c>
      <c r="E23" s="219">
        <v>654</v>
      </c>
      <c r="F23" s="220">
        <v>237</v>
      </c>
      <c r="G23" s="174">
        <v>51785</v>
      </c>
      <c r="H23" s="175">
        <v>504554</v>
      </c>
      <c r="I23" s="225">
        <v>2645</v>
      </c>
      <c r="J23" s="223">
        <v>126638</v>
      </c>
      <c r="K23" s="224">
        <v>3912395</v>
      </c>
      <c r="L23" s="174">
        <v>2675</v>
      </c>
      <c r="M23" s="176">
        <v>22433</v>
      </c>
      <c r="N23" s="176">
        <v>1930896</v>
      </c>
      <c r="O23" s="174">
        <v>8908</v>
      </c>
      <c r="P23" s="176">
        <v>56234</v>
      </c>
      <c r="Q23" s="175">
        <v>1149859</v>
      </c>
      <c r="R23" s="177" t="s">
        <v>336</v>
      </c>
    </row>
    <row r="24" spans="1:18" ht="18" customHeight="1">
      <c r="A24" s="190" t="s">
        <v>337</v>
      </c>
      <c r="B24" s="217">
        <v>125400</v>
      </c>
      <c r="C24" s="217">
        <v>278429</v>
      </c>
      <c r="D24" s="218">
        <v>132</v>
      </c>
      <c r="E24" s="219">
        <v>551</v>
      </c>
      <c r="F24" s="220">
        <v>212</v>
      </c>
      <c r="G24" s="174">
        <v>59770</v>
      </c>
      <c r="H24" s="175">
        <v>541030</v>
      </c>
      <c r="I24" s="225">
        <v>2748</v>
      </c>
      <c r="J24" s="223">
        <v>103466</v>
      </c>
      <c r="K24" s="224">
        <v>3005895</v>
      </c>
      <c r="L24" s="174">
        <v>3288</v>
      </c>
      <c r="M24" s="176">
        <v>29710</v>
      </c>
      <c r="N24" s="176">
        <v>2716985</v>
      </c>
      <c r="O24" s="174">
        <v>9259</v>
      </c>
      <c r="P24" s="176">
        <v>62394</v>
      </c>
      <c r="Q24" s="175">
        <v>1291472</v>
      </c>
      <c r="R24" s="177" t="s">
        <v>337</v>
      </c>
    </row>
    <row r="25" spans="1:18" ht="18" customHeight="1">
      <c r="A25" s="190" t="s">
        <v>338</v>
      </c>
      <c r="B25" s="217">
        <v>126200</v>
      </c>
      <c r="C25" s="217">
        <v>310195</v>
      </c>
      <c r="D25" s="218">
        <v>119</v>
      </c>
      <c r="E25" s="219">
        <v>468</v>
      </c>
      <c r="F25" s="220">
        <v>179</v>
      </c>
      <c r="G25" s="174">
        <v>41644</v>
      </c>
      <c r="H25" s="175">
        <v>377238</v>
      </c>
      <c r="I25" s="225">
        <v>2032</v>
      </c>
      <c r="J25" s="223">
        <v>72879</v>
      </c>
      <c r="K25" s="224">
        <v>2259076</v>
      </c>
      <c r="L25" s="174">
        <v>2072</v>
      </c>
      <c r="M25" s="176">
        <v>17447</v>
      </c>
      <c r="N25" s="176">
        <v>1124125</v>
      </c>
      <c r="O25" s="174">
        <v>6833</v>
      </c>
      <c r="P25" s="176">
        <v>42859</v>
      </c>
      <c r="Q25" s="175">
        <v>821047</v>
      </c>
      <c r="R25" s="177" t="s">
        <v>338</v>
      </c>
    </row>
    <row r="26" spans="1:18" ht="18" customHeight="1">
      <c r="A26" s="190" t="s">
        <v>339</v>
      </c>
      <c r="B26" s="217">
        <v>25800</v>
      </c>
      <c r="C26" s="217">
        <v>349331</v>
      </c>
      <c r="D26" s="218">
        <v>140</v>
      </c>
      <c r="E26" s="219">
        <v>914</v>
      </c>
      <c r="F26" s="220">
        <v>334</v>
      </c>
      <c r="G26" s="174">
        <v>42387</v>
      </c>
      <c r="H26" s="175">
        <v>366320</v>
      </c>
      <c r="I26" s="225">
        <v>1674</v>
      </c>
      <c r="J26" s="223">
        <v>73946</v>
      </c>
      <c r="K26" s="224">
        <v>2481979</v>
      </c>
      <c r="L26" s="174">
        <v>1920</v>
      </c>
      <c r="M26" s="176">
        <v>13952</v>
      </c>
      <c r="N26" s="176">
        <v>986597</v>
      </c>
      <c r="O26" s="174">
        <v>6592</v>
      </c>
      <c r="P26" s="176">
        <v>45126</v>
      </c>
      <c r="Q26" s="175">
        <v>896104</v>
      </c>
      <c r="R26" s="177" t="s">
        <v>339</v>
      </c>
    </row>
    <row r="27" spans="1:18" ht="18" customHeight="1">
      <c r="A27" s="190" t="s">
        <v>340</v>
      </c>
      <c r="B27" s="217">
        <v>189900</v>
      </c>
      <c r="C27" s="217">
        <v>1029195</v>
      </c>
      <c r="D27" s="218">
        <v>489</v>
      </c>
      <c r="E27" s="219">
        <v>2556</v>
      </c>
      <c r="F27" s="220">
        <v>977</v>
      </c>
      <c r="G27" s="174">
        <v>106030</v>
      </c>
      <c r="H27" s="175">
        <v>928421</v>
      </c>
      <c r="I27" s="225">
        <v>4767</v>
      </c>
      <c r="J27" s="223">
        <v>202222</v>
      </c>
      <c r="K27" s="224">
        <v>6157847</v>
      </c>
      <c r="L27" s="174">
        <v>4790</v>
      </c>
      <c r="M27" s="176">
        <v>38571</v>
      </c>
      <c r="N27" s="176">
        <v>3257148</v>
      </c>
      <c r="O27" s="174">
        <v>15935</v>
      </c>
      <c r="P27" s="176">
        <v>107595</v>
      </c>
      <c r="Q27" s="175">
        <v>2219938</v>
      </c>
      <c r="R27" s="177" t="s">
        <v>340</v>
      </c>
    </row>
    <row r="28" spans="1:18" ht="18" customHeight="1">
      <c r="A28" s="190" t="s">
        <v>341</v>
      </c>
      <c r="B28" s="217">
        <v>103200</v>
      </c>
      <c r="C28" s="217">
        <v>841066</v>
      </c>
      <c r="D28" s="218">
        <v>400</v>
      </c>
      <c r="E28" s="219">
        <v>1066</v>
      </c>
      <c r="F28" s="220">
        <v>422</v>
      </c>
      <c r="G28" s="174">
        <v>98527</v>
      </c>
      <c r="H28" s="175">
        <v>880780</v>
      </c>
      <c r="I28" s="225">
        <v>5415</v>
      </c>
      <c r="J28" s="223">
        <v>203537</v>
      </c>
      <c r="K28" s="224">
        <v>5914288</v>
      </c>
      <c r="L28" s="174">
        <v>4754</v>
      </c>
      <c r="M28" s="176">
        <v>37938</v>
      </c>
      <c r="N28" s="176">
        <v>2344839</v>
      </c>
      <c r="O28" s="174">
        <v>15292</v>
      </c>
      <c r="P28" s="176">
        <v>104538</v>
      </c>
      <c r="Q28" s="175">
        <v>2097335</v>
      </c>
      <c r="R28" s="177" t="s">
        <v>341</v>
      </c>
    </row>
    <row r="29" spans="1:18" ht="18" customHeight="1">
      <c r="A29" s="190" t="s">
        <v>342</v>
      </c>
      <c r="B29" s="217">
        <v>77400</v>
      </c>
      <c r="C29" s="217">
        <v>493121</v>
      </c>
      <c r="D29" s="218">
        <v>381</v>
      </c>
      <c r="E29" s="219">
        <v>1979</v>
      </c>
      <c r="F29" s="220">
        <v>690</v>
      </c>
      <c r="G29" s="174">
        <v>172031</v>
      </c>
      <c r="H29" s="175">
        <v>1712983</v>
      </c>
      <c r="I29" s="225">
        <v>8786</v>
      </c>
      <c r="J29" s="223">
        <v>413000</v>
      </c>
      <c r="K29" s="224">
        <v>17153997</v>
      </c>
      <c r="L29" s="174">
        <v>9124</v>
      </c>
      <c r="M29" s="176">
        <v>75387</v>
      </c>
      <c r="N29" s="176">
        <v>6972575</v>
      </c>
      <c r="O29" s="174">
        <v>27171</v>
      </c>
      <c r="P29" s="176">
        <v>186119</v>
      </c>
      <c r="Q29" s="175">
        <v>3908851</v>
      </c>
      <c r="R29" s="177" t="s">
        <v>342</v>
      </c>
    </row>
    <row r="30" spans="1:18" ht="18" customHeight="1">
      <c r="A30" s="190" t="s">
        <v>343</v>
      </c>
      <c r="B30" s="217">
        <v>130900</v>
      </c>
      <c r="C30" s="217">
        <v>217731</v>
      </c>
      <c r="D30" s="218">
        <v>245</v>
      </c>
      <c r="E30" s="219">
        <v>2949</v>
      </c>
      <c r="F30" s="220">
        <v>1004</v>
      </c>
      <c r="G30" s="174">
        <v>309867</v>
      </c>
      <c r="H30" s="175">
        <v>3749904</v>
      </c>
      <c r="I30" s="225">
        <v>15063</v>
      </c>
      <c r="J30" s="223">
        <v>848565</v>
      </c>
      <c r="K30" s="224">
        <v>47924390</v>
      </c>
      <c r="L30" s="174">
        <v>19083</v>
      </c>
      <c r="M30" s="176">
        <v>222975</v>
      </c>
      <c r="N30" s="176">
        <v>33182100</v>
      </c>
      <c r="O30" s="174">
        <v>42134</v>
      </c>
      <c r="P30" s="176">
        <v>365549</v>
      </c>
      <c r="Q30" s="175">
        <v>8474380</v>
      </c>
      <c r="R30" s="177" t="s">
        <v>343</v>
      </c>
    </row>
    <row r="31" spans="1:18" ht="18" customHeight="1">
      <c r="A31" s="190" t="s">
        <v>344</v>
      </c>
      <c r="B31" s="217">
        <v>130200</v>
      </c>
      <c r="C31" s="217">
        <v>371034</v>
      </c>
      <c r="D31" s="218">
        <v>292</v>
      </c>
      <c r="E31" s="219">
        <v>1106</v>
      </c>
      <c r="F31" s="220">
        <v>429</v>
      </c>
      <c r="G31" s="174">
        <v>77168</v>
      </c>
      <c r="H31" s="175">
        <v>801130</v>
      </c>
      <c r="I31" s="225">
        <v>3398</v>
      </c>
      <c r="J31" s="223">
        <v>207694</v>
      </c>
      <c r="K31" s="224">
        <v>10717256</v>
      </c>
      <c r="L31" s="174">
        <v>3302</v>
      </c>
      <c r="M31" s="176">
        <v>25629</v>
      </c>
      <c r="N31" s="176">
        <v>1871064</v>
      </c>
      <c r="O31" s="174">
        <v>12922</v>
      </c>
      <c r="P31" s="176">
        <v>93666</v>
      </c>
      <c r="Q31" s="175">
        <v>1912559</v>
      </c>
      <c r="R31" s="177" t="s">
        <v>344</v>
      </c>
    </row>
    <row r="32" spans="1:18" ht="18" customHeight="1">
      <c r="A32" s="190" t="s">
        <v>345</v>
      </c>
      <c r="B32" s="217">
        <v>156200</v>
      </c>
      <c r="C32" s="217">
        <v>204464</v>
      </c>
      <c r="D32" s="221">
        <v>63</v>
      </c>
      <c r="E32" s="219">
        <v>647</v>
      </c>
      <c r="F32" s="220">
        <v>244</v>
      </c>
      <c r="G32" s="174">
        <v>55262</v>
      </c>
      <c r="H32" s="175">
        <v>602600</v>
      </c>
      <c r="I32" s="225">
        <v>2622</v>
      </c>
      <c r="J32" s="223">
        <v>164215</v>
      </c>
      <c r="K32" s="224">
        <v>8048481</v>
      </c>
      <c r="L32" s="174">
        <v>2140</v>
      </c>
      <c r="M32" s="176">
        <v>16672</v>
      </c>
      <c r="N32" s="176">
        <v>1178388</v>
      </c>
      <c r="O32" s="174">
        <v>8746</v>
      </c>
      <c r="P32" s="176">
        <v>73491</v>
      </c>
      <c r="Q32" s="175">
        <v>1365867</v>
      </c>
      <c r="R32" s="177" t="s">
        <v>345</v>
      </c>
    </row>
    <row r="33" spans="1:18" s="327" customFormat="1" ht="18" customHeight="1">
      <c r="A33" s="178" t="s">
        <v>346</v>
      </c>
      <c r="B33" s="179">
        <v>71600</v>
      </c>
      <c r="C33" s="179">
        <v>342293</v>
      </c>
      <c r="D33" s="180">
        <v>148</v>
      </c>
      <c r="E33" s="181">
        <v>666</v>
      </c>
      <c r="F33" s="182">
        <v>222</v>
      </c>
      <c r="G33" s="183">
        <v>113774</v>
      </c>
      <c r="H33" s="184">
        <v>1137370</v>
      </c>
      <c r="I33" s="185">
        <v>4126</v>
      </c>
      <c r="J33" s="186">
        <v>145211</v>
      </c>
      <c r="K33" s="187">
        <v>5658782</v>
      </c>
      <c r="L33" s="183">
        <v>5249</v>
      </c>
      <c r="M33" s="188">
        <v>55077</v>
      </c>
      <c r="N33" s="188">
        <v>4346735</v>
      </c>
      <c r="O33" s="183">
        <v>17385</v>
      </c>
      <c r="P33" s="188">
        <v>144448</v>
      </c>
      <c r="Q33" s="184">
        <v>2811467</v>
      </c>
      <c r="R33" s="189" t="s">
        <v>346</v>
      </c>
    </row>
    <row r="34" spans="1:18" ht="18" customHeight="1">
      <c r="A34" s="190" t="s">
        <v>347</v>
      </c>
      <c r="B34" s="217">
        <v>22600</v>
      </c>
      <c r="C34" s="217">
        <v>57127</v>
      </c>
      <c r="D34" s="218">
        <v>6</v>
      </c>
      <c r="E34" s="219">
        <v>320</v>
      </c>
      <c r="F34" s="220">
        <v>112</v>
      </c>
      <c r="G34" s="174">
        <v>392940</v>
      </c>
      <c r="H34" s="175">
        <v>4393139</v>
      </c>
      <c r="I34" s="225">
        <v>15522</v>
      </c>
      <c r="J34" s="223">
        <v>444362</v>
      </c>
      <c r="K34" s="224">
        <v>16938356</v>
      </c>
      <c r="L34" s="174">
        <v>25998</v>
      </c>
      <c r="M34" s="176">
        <v>339901</v>
      </c>
      <c r="N34" s="176">
        <v>45961888</v>
      </c>
      <c r="O34" s="174">
        <v>48673</v>
      </c>
      <c r="P34" s="176">
        <v>423961</v>
      </c>
      <c r="Q34" s="175">
        <v>9731155</v>
      </c>
      <c r="R34" s="177" t="s">
        <v>347</v>
      </c>
    </row>
    <row r="35" spans="1:18" ht="18" customHeight="1">
      <c r="A35" s="190" t="s">
        <v>348</v>
      </c>
      <c r="B35" s="217">
        <v>175800</v>
      </c>
      <c r="C35" s="217">
        <v>563148</v>
      </c>
      <c r="D35" s="218">
        <v>275</v>
      </c>
      <c r="E35" s="219">
        <v>1509</v>
      </c>
      <c r="F35" s="220">
        <v>481</v>
      </c>
      <c r="G35" s="174">
        <v>214169</v>
      </c>
      <c r="H35" s="175">
        <v>2203102</v>
      </c>
      <c r="I35" s="225">
        <v>7510</v>
      </c>
      <c r="J35" s="223">
        <v>363044</v>
      </c>
      <c r="K35" s="224">
        <v>16263313</v>
      </c>
      <c r="L35" s="174">
        <v>9393</v>
      </c>
      <c r="M35" s="176">
        <v>87893</v>
      </c>
      <c r="N35" s="176">
        <v>8916626</v>
      </c>
      <c r="O35" s="174">
        <v>32657</v>
      </c>
      <c r="P35" s="176">
        <v>264530</v>
      </c>
      <c r="Q35" s="175">
        <v>5462757</v>
      </c>
      <c r="R35" s="177" t="s">
        <v>348</v>
      </c>
    </row>
    <row r="36" spans="1:18" ht="18" customHeight="1">
      <c r="A36" s="190" t="s">
        <v>349</v>
      </c>
      <c r="B36" s="217">
        <v>43200</v>
      </c>
      <c r="C36" s="217">
        <v>283705</v>
      </c>
      <c r="D36" s="218">
        <v>121</v>
      </c>
      <c r="E36" s="219">
        <v>403</v>
      </c>
      <c r="F36" s="220">
        <v>135</v>
      </c>
      <c r="G36" s="174">
        <v>46487</v>
      </c>
      <c r="H36" s="175">
        <v>434135</v>
      </c>
      <c r="I36" s="225">
        <v>1783</v>
      </c>
      <c r="J36" s="223">
        <v>61560</v>
      </c>
      <c r="K36" s="224">
        <v>2122417</v>
      </c>
      <c r="L36" s="174">
        <v>1658</v>
      </c>
      <c r="M36" s="176">
        <v>13137</v>
      </c>
      <c r="N36" s="176">
        <v>806809</v>
      </c>
      <c r="O36" s="174">
        <v>8034</v>
      </c>
      <c r="P36" s="176">
        <v>61727</v>
      </c>
      <c r="Q36" s="175">
        <v>1190360</v>
      </c>
      <c r="R36" s="177" t="s">
        <v>349</v>
      </c>
    </row>
    <row r="37" spans="1:18" ht="18" customHeight="1">
      <c r="A37" s="190" t="s">
        <v>350</v>
      </c>
      <c r="B37" s="217">
        <v>30300</v>
      </c>
      <c r="C37" s="217">
        <v>360130</v>
      </c>
      <c r="D37" s="218">
        <v>234</v>
      </c>
      <c r="E37" s="219">
        <v>1109</v>
      </c>
      <c r="F37" s="220">
        <v>427</v>
      </c>
      <c r="G37" s="174">
        <v>47247</v>
      </c>
      <c r="H37" s="175">
        <v>377605</v>
      </c>
      <c r="I37" s="225">
        <v>1664</v>
      </c>
      <c r="J37" s="223">
        <v>53497</v>
      </c>
      <c r="K37" s="224">
        <v>2647595</v>
      </c>
      <c r="L37" s="174">
        <v>2212</v>
      </c>
      <c r="M37" s="176">
        <v>15763</v>
      </c>
      <c r="N37" s="176">
        <v>1143373</v>
      </c>
      <c r="O37" s="174">
        <v>8564</v>
      </c>
      <c r="P37" s="176">
        <v>49367</v>
      </c>
      <c r="Q37" s="175">
        <v>939547</v>
      </c>
      <c r="R37" s="177" t="s">
        <v>350</v>
      </c>
    </row>
    <row r="38" spans="1:18" ht="18" customHeight="1">
      <c r="A38" s="190" t="s">
        <v>351</v>
      </c>
      <c r="B38" s="217">
        <v>63600</v>
      </c>
      <c r="C38" s="217">
        <v>258432</v>
      </c>
      <c r="D38" s="218">
        <v>258</v>
      </c>
      <c r="E38" s="219">
        <v>761</v>
      </c>
      <c r="F38" s="220">
        <v>276</v>
      </c>
      <c r="G38" s="174">
        <v>25718</v>
      </c>
      <c r="H38" s="175">
        <v>230700</v>
      </c>
      <c r="I38" s="225">
        <v>814</v>
      </c>
      <c r="J38" s="223">
        <v>33444</v>
      </c>
      <c r="K38" s="224">
        <v>781583</v>
      </c>
      <c r="L38" s="174">
        <v>1246</v>
      </c>
      <c r="M38" s="176">
        <v>10652</v>
      </c>
      <c r="N38" s="176">
        <v>677622</v>
      </c>
      <c r="O38" s="174">
        <v>4490</v>
      </c>
      <c r="P38" s="176">
        <v>29516</v>
      </c>
      <c r="Q38" s="175">
        <v>612494</v>
      </c>
      <c r="R38" s="177" t="s">
        <v>351</v>
      </c>
    </row>
    <row r="39" spans="1:18" s="200" customFormat="1" ht="18" customHeight="1">
      <c r="A39" s="190" t="s">
        <v>352</v>
      </c>
      <c r="B39" s="217">
        <v>87500</v>
      </c>
      <c r="C39" s="217">
        <v>527803</v>
      </c>
      <c r="D39" s="218">
        <v>430</v>
      </c>
      <c r="E39" s="219">
        <v>612</v>
      </c>
      <c r="F39" s="220">
        <v>243</v>
      </c>
      <c r="G39" s="174">
        <v>34987</v>
      </c>
      <c r="H39" s="175">
        <v>290557</v>
      </c>
      <c r="I39" s="225">
        <v>1111</v>
      </c>
      <c r="J39" s="223">
        <v>41867</v>
      </c>
      <c r="K39" s="224">
        <v>1237192</v>
      </c>
      <c r="L39" s="174">
        <v>1590</v>
      </c>
      <c r="M39" s="176">
        <v>11790</v>
      </c>
      <c r="N39" s="176">
        <v>742391</v>
      </c>
      <c r="O39" s="174">
        <v>6370</v>
      </c>
      <c r="P39" s="176">
        <v>36672</v>
      </c>
      <c r="Q39" s="175">
        <v>675493</v>
      </c>
      <c r="R39" s="177" t="s">
        <v>352</v>
      </c>
    </row>
    <row r="40" spans="1:18" ht="18" customHeight="1">
      <c r="A40" s="190" t="s">
        <v>353</v>
      </c>
      <c r="B40" s="217">
        <v>150900</v>
      </c>
      <c r="C40" s="217">
        <v>488606</v>
      </c>
      <c r="D40" s="218">
        <v>374</v>
      </c>
      <c r="E40" s="219">
        <v>1417</v>
      </c>
      <c r="F40" s="220">
        <v>429</v>
      </c>
      <c r="G40" s="174">
        <v>79870</v>
      </c>
      <c r="H40" s="175">
        <v>820656</v>
      </c>
      <c r="I40" s="225">
        <v>3147</v>
      </c>
      <c r="J40" s="223">
        <v>151056</v>
      </c>
      <c r="K40" s="224">
        <v>7704136</v>
      </c>
      <c r="L40" s="174">
        <v>4103</v>
      </c>
      <c r="M40" s="176">
        <v>37256</v>
      </c>
      <c r="N40" s="176">
        <v>3340492</v>
      </c>
      <c r="O40" s="174">
        <v>13000</v>
      </c>
      <c r="P40" s="176">
        <v>97236</v>
      </c>
      <c r="Q40" s="175">
        <v>2016548</v>
      </c>
      <c r="R40" s="177" t="s">
        <v>353</v>
      </c>
    </row>
    <row r="41" spans="1:18" ht="18" customHeight="1">
      <c r="A41" s="190" t="s">
        <v>354</v>
      </c>
      <c r="B41" s="217">
        <v>115900</v>
      </c>
      <c r="C41" s="217">
        <v>618092</v>
      </c>
      <c r="D41" s="218">
        <v>331</v>
      </c>
      <c r="E41" s="219">
        <v>1168</v>
      </c>
      <c r="F41" s="220">
        <v>363</v>
      </c>
      <c r="G41" s="174">
        <v>127057</v>
      </c>
      <c r="H41" s="175">
        <v>1302074</v>
      </c>
      <c r="I41" s="225">
        <v>4577</v>
      </c>
      <c r="J41" s="223">
        <v>218639</v>
      </c>
      <c r="K41" s="224">
        <v>9741531</v>
      </c>
      <c r="L41" s="174">
        <v>7747</v>
      </c>
      <c r="M41" s="176">
        <v>72462</v>
      </c>
      <c r="N41" s="176">
        <v>8653764</v>
      </c>
      <c r="O41" s="174">
        <v>20196</v>
      </c>
      <c r="P41" s="176">
        <v>154664</v>
      </c>
      <c r="Q41" s="175">
        <v>3220269</v>
      </c>
      <c r="R41" s="177" t="s">
        <v>354</v>
      </c>
    </row>
    <row r="42" spans="1:18" ht="18" customHeight="1">
      <c r="A42" s="190" t="s">
        <v>355</v>
      </c>
      <c r="B42" s="217">
        <v>93100</v>
      </c>
      <c r="C42" s="217">
        <v>439738</v>
      </c>
      <c r="D42" s="218">
        <v>243</v>
      </c>
      <c r="E42" s="219">
        <v>629</v>
      </c>
      <c r="F42" s="220">
        <v>236</v>
      </c>
      <c r="G42" s="174">
        <v>61385</v>
      </c>
      <c r="H42" s="175">
        <v>577791</v>
      </c>
      <c r="I42" s="225">
        <v>1671</v>
      </c>
      <c r="J42" s="223">
        <v>95585</v>
      </c>
      <c r="K42" s="224">
        <v>6553479</v>
      </c>
      <c r="L42" s="174">
        <v>2977</v>
      </c>
      <c r="M42" s="176">
        <v>23136</v>
      </c>
      <c r="N42" s="176">
        <v>1574146</v>
      </c>
      <c r="O42" s="174">
        <v>11007</v>
      </c>
      <c r="P42" s="176">
        <v>75074</v>
      </c>
      <c r="Q42" s="175">
        <v>1415814</v>
      </c>
      <c r="R42" s="177" t="s">
        <v>355</v>
      </c>
    </row>
    <row r="43" spans="1:18" ht="18" customHeight="1">
      <c r="A43" s="226" t="s">
        <v>356</v>
      </c>
      <c r="B43" s="217">
        <v>47900</v>
      </c>
      <c r="C43" s="217">
        <v>313071</v>
      </c>
      <c r="D43" s="218">
        <v>296</v>
      </c>
      <c r="E43" s="219">
        <v>961</v>
      </c>
      <c r="F43" s="220">
        <v>339</v>
      </c>
      <c r="G43" s="174">
        <v>35853</v>
      </c>
      <c r="H43" s="175">
        <v>301688</v>
      </c>
      <c r="I43" s="225">
        <v>1089</v>
      </c>
      <c r="J43" s="223">
        <v>47404</v>
      </c>
      <c r="K43" s="224">
        <v>1908126</v>
      </c>
      <c r="L43" s="174">
        <v>1619</v>
      </c>
      <c r="M43" s="176">
        <v>12771</v>
      </c>
      <c r="N43" s="176">
        <v>859382</v>
      </c>
      <c r="O43" s="174">
        <v>6227</v>
      </c>
      <c r="P43" s="176">
        <v>37748</v>
      </c>
      <c r="Q43" s="175">
        <v>724772</v>
      </c>
      <c r="R43" s="177" t="s">
        <v>356</v>
      </c>
    </row>
    <row r="44" spans="1:18" ht="18" customHeight="1">
      <c r="A44" s="190" t="s">
        <v>357</v>
      </c>
      <c r="B44" s="217">
        <v>56600</v>
      </c>
      <c r="C44" s="217">
        <v>87184</v>
      </c>
      <c r="D44" s="218">
        <v>5</v>
      </c>
      <c r="E44" s="219">
        <v>803</v>
      </c>
      <c r="F44" s="220">
        <v>272</v>
      </c>
      <c r="G44" s="174">
        <v>46774</v>
      </c>
      <c r="H44" s="175">
        <v>429167</v>
      </c>
      <c r="I44" s="225">
        <v>1774</v>
      </c>
      <c r="J44" s="223">
        <v>70080</v>
      </c>
      <c r="K44" s="224">
        <v>2711583</v>
      </c>
      <c r="L44" s="174">
        <v>2896</v>
      </c>
      <c r="M44" s="176">
        <v>24248</v>
      </c>
      <c r="N44" s="176">
        <v>2368320</v>
      </c>
      <c r="O44" s="174">
        <v>7544</v>
      </c>
      <c r="P44" s="176">
        <v>52481</v>
      </c>
      <c r="Q44" s="175">
        <v>1123965</v>
      </c>
      <c r="R44" s="177" t="s">
        <v>357</v>
      </c>
    </row>
    <row r="45" spans="1:18" ht="18" customHeight="1">
      <c r="A45" s="190" t="s">
        <v>358</v>
      </c>
      <c r="B45" s="217">
        <v>67300</v>
      </c>
      <c r="C45" s="217">
        <v>401018</v>
      </c>
      <c r="D45" s="218">
        <v>533</v>
      </c>
      <c r="E45" s="219">
        <v>1207</v>
      </c>
      <c r="F45" s="220">
        <v>456</v>
      </c>
      <c r="G45" s="174">
        <v>63310</v>
      </c>
      <c r="H45" s="175">
        <v>566761</v>
      </c>
      <c r="I45" s="225">
        <v>2055</v>
      </c>
      <c r="J45" s="223">
        <v>78189</v>
      </c>
      <c r="K45" s="224">
        <v>4308818</v>
      </c>
      <c r="L45" s="174">
        <v>3456</v>
      </c>
      <c r="M45" s="176">
        <v>27825</v>
      </c>
      <c r="N45" s="176">
        <v>2332819</v>
      </c>
      <c r="O45" s="174">
        <v>10709</v>
      </c>
      <c r="P45" s="176">
        <v>71082</v>
      </c>
      <c r="Q45" s="175">
        <v>1471569</v>
      </c>
      <c r="R45" s="177" t="s">
        <v>358</v>
      </c>
    </row>
    <row r="46" spans="1:18" ht="18" customHeight="1">
      <c r="A46" s="190" t="s">
        <v>359</v>
      </c>
      <c r="B46" s="217">
        <v>49600</v>
      </c>
      <c r="C46" s="217">
        <v>594234</v>
      </c>
      <c r="D46" s="218">
        <v>550</v>
      </c>
      <c r="E46" s="219">
        <v>1117</v>
      </c>
      <c r="F46" s="220">
        <v>362</v>
      </c>
      <c r="G46" s="174">
        <v>35366</v>
      </c>
      <c r="H46" s="175">
        <v>279196</v>
      </c>
      <c r="I46" s="225">
        <v>1084</v>
      </c>
      <c r="J46" s="223">
        <v>25416</v>
      </c>
      <c r="K46" s="224">
        <v>585527</v>
      </c>
      <c r="L46" s="174">
        <v>1631</v>
      </c>
      <c r="M46" s="176">
        <v>12738</v>
      </c>
      <c r="N46" s="176">
        <v>809717</v>
      </c>
      <c r="O46" s="174">
        <v>6734</v>
      </c>
      <c r="P46" s="176">
        <v>39117</v>
      </c>
      <c r="Q46" s="175">
        <v>723801</v>
      </c>
      <c r="R46" s="177" t="s">
        <v>359</v>
      </c>
    </row>
    <row r="47" spans="1:18" ht="18" customHeight="1">
      <c r="A47" s="190" t="s">
        <v>360</v>
      </c>
      <c r="B47" s="217">
        <v>163700</v>
      </c>
      <c r="C47" s="217">
        <v>222313</v>
      </c>
      <c r="D47" s="218">
        <v>191</v>
      </c>
      <c r="E47" s="219">
        <v>2027</v>
      </c>
      <c r="F47" s="220">
        <v>918</v>
      </c>
      <c r="G47" s="174">
        <v>212649</v>
      </c>
      <c r="H47" s="175">
        <v>2236269</v>
      </c>
      <c r="I47" s="225">
        <v>5009</v>
      </c>
      <c r="J47" s="223">
        <v>222453</v>
      </c>
      <c r="K47" s="224">
        <v>9912191</v>
      </c>
      <c r="L47" s="174">
        <v>13501</v>
      </c>
      <c r="M47" s="176">
        <v>131746</v>
      </c>
      <c r="N47" s="176">
        <v>16155837</v>
      </c>
      <c r="O47" s="174">
        <v>33312</v>
      </c>
      <c r="P47" s="176">
        <v>255876</v>
      </c>
      <c r="Q47" s="175">
        <v>5605106</v>
      </c>
      <c r="R47" s="177" t="s">
        <v>360</v>
      </c>
    </row>
    <row r="48" spans="1:18" ht="18" customHeight="1">
      <c r="A48" s="190" t="s">
        <v>361</v>
      </c>
      <c r="B48" s="217">
        <v>118800</v>
      </c>
      <c r="C48" s="217">
        <v>110610</v>
      </c>
      <c r="D48" s="218">
        <v>130</v>
      </c>
      <c r="E48" s="219">
        <v>1135</v>
      </c>
      <c r="F48" s="220">
        <v>606</v>
      </c>
      <c r="G48" s="174">
        <v>37479</v>
      </c>
      <c r="H48" s="175">
        <v>354733</v>
      </c>
      <c r="I48" s="225">
        <v>1303</v>
      </c>
      <c r="J48" s="223">
        <v>61907</v>
      </c>
      <c r="K48" s="224">
        <v>2069835</v>
      </c>
      <c r="L48" s="174">
        <v>1826</v>
      </c>
      <c r="M48" s="176">
        <v>14497</v>
      </c>
      <c r="N48" s="176">
        <v>853670</v>
      </c>
      <c r="O48" s="174">
        <v>6809</v>
      </c>
      <c r="P48" s="176">
        <v>43510</v>
      </c>
      <c r="Q48" s="175">
        <v>810259</v>
      </c>
      <c r="R48" s="177" t="s">
        <v>361</v>
      </c>
    </row>
    <row r="49" spans="1:18" ht="18" customHeight="1">
      <c r="A49" s="190" t="s">
        <v>362</v>
      </c>
      <c r="B49" s="217">
        <v>50800</v>
      </c>
      <c r="C49" s="217">
        <v>246301</v>
      </c>
      <c r="D49" s="218">
        <v>118</v>
      </c>
      <c r="E49" s="219">
        <v>1513</v>
      </c>
      <c r="F49" s="220">
        <v>593</v>
      </c>
      <c r="G49" s="174">
        <v>62028</v>
      </c>
      <c r="H49" s="175">
        <v>536782</v>
      </c>
      <c r="I49" s="225">
        <v>1581</v>
      </c>
      <c r="J49" s="223">
        <v>54630</v>
      </c>
      <c r="K49" s="224">
        <v>1719212</v>
      </c>
      <c r="L49" s="174">
        <v>3020</v>
      </c>
      <c r="M49" s="176">
        <v>24577</v>
      </c>
      <c r="N49" s="176">
        <v>1578422</v>
      </c>
      <c r="O49" s="174">
        <v>11717</v>
      </c>
      <c r="P49" s="176">
        <v>70642</v>
      </c>
      <c r="Q49" s="175">
        <v>1408527</v>
      </c>
      <c r="R49" s="177" t="s">
        <v>362</v>
      </c>
    </row>
    <row r="50" spans="1:18" ht="18" customHeight="1">
      <c r="A50" s="190" t="s">
        <v>363</v>
      </c>
      <c r="B50" s="217">
        <v>156300</v>
      </c>
      <c r="C50" s="217">
        <v>466250</v>
      </c>
      <c r="D50" s="218">
        <v>1050</v>
      </c>
      <c r="E50" s="219">
        <v>3364</v>
      </c>
      <c r="F50" s="220">
        <v>1442</v>
      </c>
      <c r="G50" s="174">
        <v>72144</v>
      </c>
      <c r="H50" s="175">
        <v>690992</v>
      </c>
      <c r="I50" s="225">
        <v>1922</v>
      </c>
      <c r="J50" s="223">
        <v>94131</v>
      </c>
      <c r="K50" s="224">
        <v>2852312</v>
      </c>
      <c r="L50" s="174">
        <v>3575</v>
      </c>
      <c r="M50" s="176">
        <v>30362</v>
      </c>
      <c r="N50" s="176">
        <v>2371101</v>
      </c>
      <c r="O50" s="174">
        <v>12689</v>
      </c>
      <c r="P50" s="176">
        <v>85903</v>
      </c>
      <c r="Q50" s="175">
        <v>1672079</v>
      </c>
      <c r="R50" s="177" t="s">
        <v>363</v>
      </c>
    </row>
    <row r="51" spans="1:18" ht="18" customHeight="1">
      <c r="A51" s="190" t="s">
        <v>364</v>
      </c>
      <c r="B51" s="217">
        <v>95500</v>
      </c>
      <c r="C51" s="217">
        <v>454565</v>
      </c>
      <c r="D51" s="218">
        <v>1148</v>
      </c>
      <c r="E51" s="219">
        <v>1195</v>
      </c>
      <c r="F51" s="220">
        <v>507</v>
      </c>
      <c r="G51" s="174">
        <v>52973</v>
      </c>
      <c r="H51" s="175">
        <v>483206</v>
      </c>
      <c r="I51" s="225">
        <v>1371</v>
      </c>
      <c r="J51" s="223">
        <v>66019</v>
      </c>
      <c r="K51" s="224">
        <v>4298945</v>
      </c>
      <c r="L51" s="174">
        <v>2457</v>
      </c>
      <c r="M51" s="176">
        <v>18618</v>
      </c>
      <c r="N51" s="176">
        <v>1276109</v>
      </c>
      <c r="O51" s="174">
        <v>9251</v>
      </c>
      <c r="P51" s="176">
        <v>62789</v>
      </c>
      <c r="Q51" s="175">
        <v>1191357</v>
      </c>
      <c r="R51" s="177" t="s">
        <v>364</v>
      </c>
    </row>
    <row r="52" spans="1:18" ht="18" customHeight="1">
      <c r="A52" s="226" t="s">
        <v>365</v>
      </c>
      <c r="B52" s="217">
        <v>77800</v>
      </c>
      <c r="C52" s="217">
        <v>585908</v>
      </c>
      <c r="D52" s="218">
        <v>1999</v>
      </c>
      <c r="E52" s="219">
        <v>3396</v>
      </c>
      <c r="F52" s="220">
        <v>1142</v>
      </c>
      <c r="G52" s="174">
        <v>51475</v>
      </c>
      <c r="H52" s="175">
        <v>448050</v>
      </c>
      <c r="I52" s="225">
        <v>1337</v>
      </c>
      <c r="J52" s="223">
        <v>55285</v>
      </c>
      <c r="K52" s="224">
        <v>1634585</v>
      </c>
      <c r="L52" s="174">
        <v>2398</v>
      </c>
      <c r="M52" s="176">
        <v>19284</v>
      </c>
      <c r="N52" s="176">
        <v>1598605</v>
      </c>
      <c r="O52" s="174">
        <v>9126</v>
      </c>
      <c r="P52" s="176">
        <v>59370</v>
      </c>
      <c r="Q52" s="175">
        <v>1115784</v>
      </c>
      <c r="R52" s="177" t="s">
        <v>365</v>
      </c>
    </row>
    <row r="53" spans="1:18" ht="18" customHeight="1">
      <c r="A53" s="190" t="s">
        <v>366</v>
      </c>
      <c r="B53" s="217">
        <v>89100</v>
      </c>
      <c r="C53" s="217">
        <v>588683</v>
      </c>
      <c r="D53" s="218">
        <v>708</v>
      </c>
      <c r="E53" s="219">
        <v>4890</v>
      </c>
      <c r="F53" s="220">
        <v>1481</v>
      </c>
      <c r="G53" s="174">
        <v>75443</v>
      </c>
      <c r="H53" s="175">
        <v>669456</v>
      </c>
      <c r="I53" s="225">
        <v>1944</v>
      </c>
      <c r="J53" s="223">
        <v>69563</v>
      </c>
      <c r="K53" s="224">
        <v>1993967</v>
      </c>
      <c r="L53" s="174">
        <v>3572</v>
      </c>
      <c r="M53" s="176">
        <v>28979</v>
      </c>
      <c r="N53" s="176">
        <v>2595424</v>
      </c>
      <c r="O53" s="174">
        <v>13867</v>
      </c>
      <c r="P53" s="176">
        <v>88427</v>
      </c>
      <c r="Q53" s="175">
        <v>1598644</v>
      </c>
      <c r="R53" s="177" t="s">
        <v>366</v>
      </c>
    </row>
    <row r="54" spans="1:18" ht="18" customHeight="1">
      <c r="A54" s="227" t="s">
        <v>367</v>
      </c>
      <c r="B54" s="217">
        <v>2120</v>
      </c>
      <c r="C54" s="217">
        <v>115602</v>
      </c>
      <c r="D54" s="218">
        <v>2</v>
      </c>
      <c r="E54" s="219">
        <v>977</v>
      </c>
      <c r="F54" s="220">
        <v>362</v>
      </c>
      <c r="G54" s="174">
        <v>64285</v>
      </c>
      <c r="H54" s="175">
        <v>553619</v>
      </c>
      <c r="I54" s="229">
        <v>1058</v>
      </c>
      <c r="J54" s="230">
        <v>25359</v>
      </c>
      <c r="K54" s="231">
        <v>485909</v>
      </c>
      <c r="L54" s="174">
        <v>2275</v>
      </c>
      <c r="M54" s="176">
        <v>21829</v>
      </c>
      <c r="N54" s="176">
        <v>1439283</v>
      </c>
      <c r="O54" s="191">
        <v>9535</v>
      </c>
      <c r="P54" s="176">
        <v>69369</v>
      </c>
      <c r="Q54" s="175">
        <v>1286845</v>
      </c>
      <c r="R54" s="192" t="s">
        <v>367</v>
      </c>
    </row>
    <row r="55" spans="1:18" ht="20.149999999999999" customHeight="1">
      <c r="A55" s="396" t="s">
        <v>368</v>
      </c>
      <c r="B55" s="228" t="s">
        <v>369</v>
      </c>
      <c r="C55" s="312" t="s">
        <v>370</v>
      </c>
      <c r="D55" s="208" t="s">
        <v>371</v>
      </c>
      <c r="E55" s="337" t="s">
        <v>372</v>
      </c>
      <c r="F55" s="338"/>
      <c r="G55" s="398" t="s">
        <v>373</v>
      </c>
      <c r="H55" s="399"/>
      <c r="I55" s="382" t="s">
        <v>374</v>
      </c>
      <c r="J55" s="383"/>
      <c r="K55" s="384"/>
      <c r="L55" s="382" t="s">
        <v>375</v>
      </c>
      <c r="M55" s="351"/>
      <c r="N55" s="351"/>
      <c r="O55" s="351"/>
      <c r="P55" s="345"/>
      <c r="Q55" s="400"/>
      <c r="R55" s="402"/>
    </row>
    <row r="56" spans="1:18" ht="20.149999999999999" customHeight="1">
      <c r="A56" s="397"/>
      <c r="B56" s="315" t="s">
        <v>376</v>
      </c>
      <c r="C56" s="331" t="s">
        <v>377</v>
      </c>
      <c r="D56" s="332" t="s">
        <v>378</v>
      </c>
      <c r="E56" s="404" t="s">
        <v>376</v>
      </c>
      <c r="F56" s="405"/>
      <c r="G56" s="406" t="s">
        <v>379</v>
      </c>
      <c r="H56" s="407"/>
      <c r="I56" s="374"/>
      <c r="J56" s="375"/>
      <c r="K56" s="376"/>
      <c r="L56" s="344"/>
      <c r="M56" s="357"/>
      <c r="N56" s="357"/>
      <c r="O56" s="357"/>
      <c r="P56" s="347"/>
      <c r="Q56" s="401"/>
      <c r="R56" s="403"/>
    </row>
    <row r="57" spans="1:18" ht="13.5" customHeight="1">
      <c r="A57" s="193" t="s">
        <v>380</v>
      </c>
      <c r="B57" s="194"/>
      <c r="C57" s="194"/>
      <c r="D57" s="194"/>
      <c r="E57" s="195"/>
      <c r="F57" s="195"/>
      <c r="G57" s="194"/>
      <c r="H57" s="194"/>
      <c r="I57" s="196"/>
      <c r="J57" s="197" t="s">
        <v>381</v>
      </c>
      <c r="K57" s="198"/>
      <c r="L57" s="198"/>
      <c r="M57" s="198"/>
      <c r="N57" s="198"/>
      <c r="O57" s="198"/>
      <c r="P57" s="198"/>
      <c r="Q57" s="198"/>
      <c r="R57" s="198"/>
    </row>
    <row r="58" spans="1:18" ht="13.5" customHeight="1">
      <c r="A58" s="199" t="s">
        <v>382</v>
      </c>
      <c r="I58" s="198"/>
      <c r="J58" s="197" t="s">
        <v>383</v>
      </c>
      <c r="K58" s="198"/>
      <c r="L58" s="198"/>
      <c r="M58" s="198"/>
      <c r="N58" s="198"/>
      <c r="O58" s="198"/>
      <c r="P58" s="198"/>
      <c r="Q58" s="198"/>
      <c r="R58" s="198"/>
    </row>
    <row r="59" spans="1:18" ht="13.5" customHeight="1">
      <c r="A59" s="199" t="s">
        <v>384</v>
      </c>
      <c r="G59" s="201"/>
      <c r="H59" s="201"/>
      <c r="I59" s="198"/>
      <c r="J59" s="202" t="s">
        <v>385</v>
      </c>
      <c r="K59" s="203"/>
      <c r="L59" s="203"/>
      <c r="M59" s="198"/>
      <c r="N59" s="198"/>
      <c r="O59" s="198"/>
      <c r="P59" s="198"/>
      <c r="Q59" s="198"/>
      <c r="R59" s="198"/>
    </row>
    <row r="60" spans="1:18" ht="13.5" customHeight="1">
      <c r="A60" s="204" t="s">
        <v>386</v>
      </c>
      <c r="I60" s="205"/>
      <c r="J60" s="202"/>
      <c r="K60" s="203"/>
      <c r="L60" s="203"/>
      <c r="M60" s="198"/>
      <c r="N60" s="198"/>
      <c r="O60" s="198"/>
      <c r="P60" s="198"/>
      <c r="Q60" s="198"/>
      <c r="R60" s="198"/>
    </row>
    <row r="61" spans="1:18">
      <c r="A61" s="206" t="s">
        <v>387</v>
      </c>
      <c r="H61" s="314"/>
      <c r="I61" s="313"/>
      <c r="J61" s="394" t="s">
        <v>388</v>
      </c>
      <c r="K61" s="394"/>
      <c r="L61" s="198"/>
      <c r="M61" s="198"/>
      <c r="N61" s="198"/>
      <c r="O61" s="198"/>
      <c r="P61" s="198"/>
      <c r="Q61" s="198"/>
      <c r="R61" s="198"/>
    </row>
    <row r="62" spans="1:18">
      <c r="A62" s="1" t="s">
        <v>389</v>
      </c>
      <c r="H62" s="395"/>
      <c r="I62" s="395"/>
    </row>
    <row r="63" spans="1:18">
      <c r="B63" s="298"/>
    </row>
    <row r="64" spans="1:18">
      <c r="B64" s="201"/>
      <c r="I64" s="328"/>
      <c r="J64" s="328"/>
      <c r="K64" s="328"/>
    </row>
  </sheetData>
  <mergeCells count="19">
    <mergeCell ref="L55:Q56"/>
    <mergeCell ref="R55:R56"/>
    <mergeCell ref="E56:F56"/>
    <mergeCell ref="G56:H56"/>
    <mergeCell ref="A1:R1"/>
    <mergeCell ref="A2:A5"/>
    <mergeCell ref="B2:F2"/>
    <mergeCell ref="G2:H4"/>
    <mergeCell ref="I2:K4"/>
    <mergeCell ref="L2:Q2"/>
    <mergeCell ref="R2:R5"/>
    <mergeCell ref="L3:N4"/>
    <mergeCell ref="O3:Q4"/>
    <mergeCell ref="J61:K61"/>
    <mergeCell ref="H62:I62"/>
    <mergeCell ref="A55:A56"/>
    <mergeCell ref="E55:F55"/>
    <mergeCell ref="G55:H55"/>
    <mergeCell ref="I55:K56"/>
  </mergeCells>
  <phoneticPr fontId="66"/>
  <conditionalFormatting sqref="I7:J53">
    <cfRule type="expression" dxfId="3" priority="4" stopIfTrue="1">
      <formula>#REF!="00"</formula>
    </cfRule>
  </conditionalFormatting>
  <conditionalFormatting sqref="I54:J54">
    <cfRule type="expression" dxfId="2" priority="3" stopIfTrue="1">
      <formula>#REF!="00"</formula>
    </cfRule>
  </conditionalFormatting>
  <conditionalFormatting sqref="K7:K53">
    <cfRule type="expression" dxfId="1" priority="2" stopIfTrue="1">
      <formula>#REF!="00"</formula>
    </cfRule>
  </conditionalFormatting>
  <conditionalFormatting sqref="K54">
    <cfRule type="expression" dxfId="0" priority="1" stopIfTrue="1">
      <formula>#REF!="00"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C331-7FCD-4FC8-8C75-C1CAC2AB7067}">
  <dimension ref="A1:X60"/>
  <sheetViews>
    <sheetView zoomScale="60" zoomScaleNormal="60" workbookViewId="0">
      <selection sqref="A1:V1"/>
    </sheetView>
  </sheetViews>
  <sheetFormatPr defaultColWidth="9" defaultRowHeight="13"/>
  <cols>
    <col min="1" max="1" width="9.08984375" style="232" customWidth="1"/>
    <col min="2" max="2" width="15" style="200" customWidth="1"/>
    <col min="3" max="3" width="14.08984375" style="200" customWidth="1"/>
    <col min="4" max="6" width="8" style="200" customWidth="1"/>
    <col min="7" max="7" width="11.08984375" style="200" customWidth="1"/>
    <col min="8" max="8" width="9.08984375" style="200" customWidth="1"/>
    <col min="9" max="9" width="11.6328125" style="200" customWidth="1"/>
    <col min="10" max="10" width="9.08984375" style="200" customWidth="1"/>
    <col min="11" max="11" width="11.6328125" style="200" customWidth="1"/>
    <col min="12" max="13" width="10.90625" style="200" customWidth="1"/>
    <col min="14" max="14" width="9" style="200"/>
    <col min="15" max="15" width="11.6328125" style="200" customWidth="1"/>
    <col min="16" max="16" width="9" style="200"/>
    <col min="17" max="17" width="12.6328125" style="200" customWidth="1"/>
    <col min="18" max="18" width="14" style="198" bestFit="1" customWidth="1"/>
    <col min="19" max="19" width="10.6328125" style="198" customWidth="1"/>
    <col min="20" max="21" width="13.08984375" style="200" customWidth="1"/>
    <col min="22" max="22" width="11.08984375" style="232" bestFit="1" customWidth="1"/>
    <col min="23" max="23" width="9" style="232"/>
    <col min="24" max="24" width="11" style="232" customWidth="1"/>
    <col min="25" max="16384" width="9" style="232"/>
  </cols>
  <sheetData>
    <row r="1" spans="1:24" ht="24.75" customHeight="1" thickBot="1">
      <c r="A1" s="333" t="s">
        <v>390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</row>
    <row r="2" spans="1:24" ht="14.25" customHeight="1" thickTop="1">
      <c r="A2" s="348" t="s">
        <v>287</v>
      </c>
      <c r="B2" s="418" t="s">
        <v>391</v>
      </c>
      <c r="C2" s="418" t="s">
        <v>392</v>
      </c>
      <c r="D2" s="421" t="s">
        <v>393</v>
      </c>
      <c r="E2" s="421"/>
      <c r="F2" s="421"/>
      <c r="G2" s="421"/>
      <c r="H2" s="422" t="s">
        <v>394</v>
      </c>
      <c r="I2" s="412"/>
      <c r="J2" s="412"/>
      <c r="K2" s="412"/>
      <c r="L2" s="412"/>
      <c r="M2" s="412"/>
      <c r="N2" s="412"/>
      <c r="O2" s="412"/>
      <c r="P2" s="412"/>
      <c r="Q2" s="423"/>
      <c r="R2" s="368" t="s">
        <v>395</v>
      </c>
      <c r="S2" s="370"/>
      <c r="T2" s="424" t="s">
        <v>396</v>
      </c>
      <c r="U2" s="414"/>
      <c r="V2" s="354" t="s">
        <v>397</v>
      </c>
    </row>
    <row r="3" spans="1:24" ht="13.5" customHeight="1">
      <c r="A3" s="349"/>
      <c r="B3" s="419"/>
      <c r="C3" s="419"/>
      <c r="D3" s="427" t="s">
        <v>398</v>
      </c>
      <c r="E3" s="427"/>
      <c r="F3" s="426"/>
      <c r="G3" s="382" t="s">
        <v>399</v>
      </c>
      <c r="H3" s="337" t="s">
        <v>400</v>
      </c>
      <c r="I3" s="339"/>
      <c r="J3" s="337" t="s">
        <v>401</v>
      </c>
      <c r="K3" s="339"/>
      <c r="L3" s="337" t="s">
        <v>402</v>
      </c>
      <c r="M3" s="444"/>
      <c r="N3" s="447" t="s">
        <v>403</v>
      </c>
      <c r="O3" s="339"/>
      <c r="P3" s="447" t="s">
        <v>404</v>
      </c>
      <c r="Q3" s="448"/>
      <c r="R3" s="374"/>
      <c r="S3" s="376"/>
      <c r="T3" s="425"/>
      <c r="U3" s="426"/>
      <c r="V3" s="356"/>
    </row>
    <row r="4" spans="1:24" ht="13.5" customHeight="1">
      <c r="A4" s="349"/>
      <c r="B4" s="419"/>
      <c r="C4" s="419"/>
      <c r="D4" s="352" t="s">
        <v>405</v>
      </c>
      <c r="E4" s="209" t="s">
        <v>406</v>
      </c>
      <c r="F4" s="209" t="s">
        <v>407</v>
      </c>
      <c r="G4" s="371"/>
      <c r="H4" s="340"/>
      <c r="I4" s="342"/>
      <c r="J4" s="340"/>
      <c r="K4" s="342"/>
      <c r="L4" s="445"/>
      <c r="M4" s="446"/>
      <c r="N4" s="341"/>
      <c r="O4" s="342"/>
      <c r="P4" s="449"/>
      <c r="Q4" s="450"/>
      <c r="R4" s="440" t="s">
        <v>408</v>
      </c>
      <c r="S4" s="384" t="s">
        <v>409</v>
      </c>
      <c r="T4" s="380"/>
      <c r="U4" s="426"/>
      <c r="V4" s="356"/>
    </row>
    <row r="5" spans="1:24" ht="13.5" customHeight="1">
      <c r="A5" s="350"/>
      <c r="B5" s="420"/>
      <c r="C5" s="420"/>
      <c r="D5" s="350"/>
      <c r="E5" s="213" t="s">
        <v>410</v>
      </c>
      <c r="F5" s="213" t="s">
        <v>410</v>
      </c>
      <c r="G5" s="374"/>
      <c r="H5" s="212" t="s">
        <v>411</v>
      </c>
      <c r="I5" s="305" t="s">
        <v>412</v>
      </c>
      <c r="J5" s="305" t="s">
        <v>411</v>
      </c>
      <c r="K5" s="305" t="s">
        <v>413</v>
      </c>
      <c r="L5" s="306" t="s">
        <v>411</v>
      </c>
      <c r="M5" s="306" t="s">
        <v>414</v>
      </c>
      <c r="N5" s="306" t="s">
        <v>411</v>
      </c>
      <c r="O5" s="305" t="s">
        <v>413</v>
      </c>
      <c r="P5" s="165" t="s">
        <v>411</v>
      </c>
      <c r="Q5" s="166" t="s">
        <v>415</v>
      </c>
      <c r="R5" s="420"/>
      <c r="S5" s="376"/>
      <c r="T5" s="161" t="s">
        <v>416</v>
      </c>
      <c r="U5" s="161" t="s">
        <v>417</v>
      </c>
      <c r="V5" s="344"/>
    </row>
    <row r="6" spans="1:24" ht="22" customHeight="1">
      <c r="A6" s="2"/>
      <c r="B6" s="104" t="s">
        <v>418</v>
      </c>
      <c r="C6" s="233" t="s">
        <v>419</v>
      </c>
      <c r="D6" s="104" t="s">
        <v>420</v>
      </c>
      <c r="E6" s="104" t="s">
        <v>420</v>
      </c>
      <c r="F6" s="104" t="s">
        <v>420</v>
      </c>
      <c r="G6" s="104" t="s">
        <v>421</v>
      </c>
      <c r="H6" s="234" t="s">
        <v>422</v>
      </c>
      <c r="I6" s="235" t="s">
        <v>320</v>
      </c>
      <c r="J6" s="235" t="s">
        <v>422</v>
      </c>
      <c r="K6" s="235" t="s">
        <v>320</v>
      </c>
      <c r="L6" s="235" t="s">
        <v>422</v>
      </c>
      <c r="M6" s="235" t="s">
        <v>320</v>
      </c>
      <c r="N6" s="235" t="s">
        <v>422</v>
      </c>
      <c r="O6" s="235" t="s">
        <v>320</v>
      </c>
      <c r="P6" s="235" t="s">
        <v>422</v>
      </c>
      <c r="Q6" s="236" t="s">
        <v>320</v>
      </c>
      <c r="R6" s="168" t="s">
        <v>318</v>
      </c>
      <c r="S6" s="104" t="s">
        <v>423</v>
      </c>
      <c r="T6" s="105" t="s">
        <v>318</v>
      </c>
      <c r="U6" s="107" t="s">
        <v>318</v>
      </c>
      <c r="V6" s="237"/>
    </row>
    <row r="7" spans="1:24" ht="18" customHeight="1">
      <c r="A7" s="3" t="s">
        <v>11</v>
      </c>
      <c r="B7" s="303">
        <v>1227422250</v>
      </c>
      <c r="C7" s="238">
        <v>82077752</v>
      </c>
      <c r="D7" s="239">
        <v>6.6</v>
      </c>
      <c r="E7" s="239">
        <v>81.3</v>
      </c>
      <c r="F7" s="240">
        <v>54.3</v>
      </c>
      <c r="G7" s="241">
        <v>1212.0999999999999</v>
      </c>
      <c r="H7" s="242">
        <v>19336</v>
      </c>
      <c r="I7" s="243">
        <v>6223394</v>
      </c>
      <c r="J7" s="244">
        <v>10076</v>
      </c>
      <c r="K7" s="244">
        <v>3229698</v>
      </c>
      <c r="L7" s="242">
        <v>151</v>
      </c>
      <c r="M7" s="242">
        <v>58568</v>
      </c>
      <c r="N7" s="244">
        <v>4856</v>
      </c>
      <c r="O7" s="242">
        <v>3008172</v>
      </c>
      <c r="P7" s="245">
        <v>803</v>
      </c>
      <c r="Q7" s="245">
        <v>2917998</v>
      </c>
      <c r="R7" s="246">
        <v>4042622</v>
      </c>
      <c r="S7" s="247">
        <v>3198</v>
      </c>
      <c r="T7" s="246">
        <v>509140</v>
      </c>
      <c r="U7" s="248">
        <v>493390</v>
      </c>
      <c r="V7" s="249" t="s">
        <v>11</v>
      </c>
    </row>
    <row r="8" spans="1:24" ht="18" customHeight="1">
      <c r="A8" s="4" t="s">
        <v>12</v>
      </c>
      <c r="B8" s="304">
        <v>84958850</v>
      </c>
      <c r="C8" s="250">
        <v>3780781</v>
      </c>
      <c r="D8" s="251">
        <v>10.5</v>
      </c>
      <c r="E8" s="251">
        <v>64.7</v>
      </c>
      <c r="F8" s="252">
        <v>54.9</v>
      </c>
      <c r="G8" s="253">
        <v>1774.6</v>
      </c>
      <c r="H8" s="254">
        <v>984</v>
      </c>
      <c r="I8" s="255">
        <v>231714</v>
      </c>
      <c r="J8" s="256">
        <v>579</v>
      </c>
      <c r="K8" s="256">
        <v>122742</v>
      </c>
      <c r="L8" s="254">
        <v>15</v>
      </c>
      <c r="M8" s="254">
        <v>1623</v>
      </c>
      <c r="N8" s="256">
        <v>272</v>
      </c>
      <c r="O8" s="254">
        <v>115335</v>
      </c>
      <c r="P8" s="257">
        <v>37</v>
      </c>
      <c r="Q8" s="258">
        <v>90240</v>
      </c>
      <c r="R8" s="259">
        <f>14494692/100</f>
        <v>144946.92000000001</v>
      </c>
      <c r="S8" s="260">
        <v>2742.2189421261269</v>
      </c>
      <c r="T8" s="261">
        <v>24258</v>
      </c>
      <c r="U8" s="262">
        <v>24116</v>
      </c>
      <c r="V8" s="263" t="s">
        <v>12</v>
      </c>
      <c r="X8" s="264"/>
    </row>
    <row r="9" spans="1:24" ht="18" customHeight="1">
      <c r="A9" s="4" t="s">
        <v>424</v>
      </c>
      <c r="B9" s="304">
        <v>20165511</v>
      </c>
      <c r="C9" s="265">
        <v>1003353</v>
      </c>
      <c r="D9" s="251">
        <v>7.5</v>
      </c>
      <c r="E9" s="251">
        <v>70.400000000000006</v>
      </c>
      <c r="F9" s="252">
        <v>41.7</v>
      </c>
      <c r="G9" s="253">
        <v>1372.9</v>
      </c>
      <c r="H9" s="266">
        <v>263</v>
      </c>
      <c r="I9" s="255">
        <v>54460</v>
      </c>
      <c r="J9" s="256">
        <v>157</v>
      </c>
      <c r="K9" s="267">
        <v>29940</v>
      </c>
      <c r="L9" s="254">
        <v>0</v>
      </c>
      <c r="M9" s="254">
        <v>0</v>
      </c>
      <c r="N9" s="256">
        <v>77</v>
      </c>
      <c r="O9" s="254">
        <v>30543</v>
      </c>
      <c r="P9" s="257">
        <v>10</v>
      </c>
      <c r="Q9" s="258">
        <v>16572</v>
      </c>
      <c r="R9" s="259">
        <f>3166515/100</f>
        <v>31665.15</v>
      </c>
      <c r="S9" s="260">
        <v>2507.4137217001712</v>
      </c>
      <c r="T9" s="261">
        <v>6658</v>
      </c>
      <c r="U9" s="262">
        <v>6460</v>
      </c>
      <c r="V9" s="263" t="s">
        <v>424</v>
      </c>
      <c r="X9" s="264"/>
    </row>
    <row r="10" spans="1:24" ht="18" customHeight="1">
      <c r="A10" s="4" t="s">
        <v>425</v>
      </c>
      <c r="B10" s="304">
        <v>33296650</v>
      </c>
      <c r="C10" s="265">
        <v>1030341</v>
      </c>
      <c r="D10" s="251">
        <v>7.4</v>
      </c>
      <c r="E10" s="251">
        <v>71.599999999999994</v>
      </c>
      <c r="F10" s="252">
        <v>46.9</v>
      </c>
      <c r="G10" s="253">
        <v>1270.5</v>
      </c>
      <c r="H10" s="268">
        <v>298</v>
      </c>
      <c r="I10" s="255">
        <v>55597</v>
      </c>
      <c r="J10" s="256">
        <v>154</v>
      </c>
      <c r="K10" s="269">
        <v>30269</v>
      </c>
      <c r="L10" s="254">
        <v>1</v>
      </c>
      <c r="M10" s="254">
        <v>619</v>
      </c>
      <c r="N10" s="256">
        <v>79</v>
      </c>
      <c r="O10" s="254">
        <v>29980</v>
      </c>
      <c r="P10" s="257">
        <v>6</v>
      </c>
      <c r="Q10" s="258">
        <v>12671</v>
      </c>
      <c r="R10" s="259">
        <f xml:space="preserve"> 3525035/100</f>
        <v>35250.35</v>
      </c>
      <c r="S10" s="260">
        <v>2841.0701016004941</v>
      </c>
      <c r="T10" s="261">
        <v>9939</v>
      </c>
      <c r="U10" s="262">
        <v>9193</v>
      </c>
      <c r="V10" s="263" t="s">
        <v>425</v>
      </c>
      <c r="X10" s="264"/>
    </row>
    <row r="11" spans="1:24" ht="18" customHeight="1">
      <c r="A11" s="4" t="s">
        <v>426</v>
      </c>
      <c r="B11" s="304">
        <v>21766286</v>
      </c>
      <c r="C11" s="265">
        <v>1706936</v>
      </c>
      <c r="D11" s="251">
        <v>6</v>
      </c>
      <c r="E11" s="251">
        <v>72.5</v>
      </c>
      <c r="F11" s="252">
        <v>46</v>
      </c>
      <c r="G11" s="253">
        <v>1092.8</v>
      </c>
      <c r="H11" s="268">
        <v>374</v>
      </c>
      <c r="I11" s="255">
        <v>112246</v>
      </c>
      <c r="J11" s="256">
        <v>205</v>
      </c>
      <c r="K11" s="269">
        <v>58748</v>
      </c>
      <c r="L11" s="254">
        <v>2</v>
      </c>
      <c r="M11" s="254">
        <v>783</v>
      </c>
      <c r="N11" s="256">
        <v>95</v>
      </c>
      <c r="O11" s="254">
        <v>55329</v>
      </c>
      <c r="P11" s="257">
        <v>14</v>
      </c>
      <c r="Q11" s="258">
        <v>57585</v>
      </c>
      <c r="R11" s="259">
        <f>6819088/100</f>
        <v>68190.880000000005</v>
      </c>
      <c r="S11" s="260">
        <v>2944.8763742255169</v>
      </c>
      <c r="T11" s="261">
        <v>11280</v>
      </c>
      <c r="U11" s="262">
        <v>10327</v>
      </c>
      <c r="V11" s="263" t="s">
        <v>426</v>
      </c>
      <c r="X11" s="264"/>
    </row>
    <row r="12" spans="1:24" ht="18" customHeight="1">
      <c r="A12" s="4" t="s">
        <v>427</v>
      </c>
      <c r="B12" s="304">
        <v>23892889</v>
      </c>
      <c r="C12" s="265">
        <v>806363</v>
      </c>
      <c r="D12" s="251">
        <v>7</v>
      </c>
      <c r="E12" s="251">
        <v>83</v>
      </c>
      <c r="F12" s="252">
        <v>45.1</v>
      </c>
      <c r="G12" s="253">
        <v>1517</v>
      </c>
      <c r="H12" s="266">
        <v>182</v>
      </c>
      <c r="I12" s="255">
        <v>38992</v>
      </c>
      <c r="J12" s="256">
        <v>111</v>
      </c>
      <c r="K12" s="267">
        <v>21924</v>
      </c>
      <c r="L12" s="254">
        <v>1</v>
      </c>
      <c r="M12" s="254">
        <v>231</v>
      </c>
      <c r="N12" s="256">
        <v>52</v>
      </c>
      <c r="O12" s="254">
        <v>21448</v>
      </c>
      <c r="P12" s="257">
        <v>7</v>
      </c>
      <c r="Q12" s="258">
        <v>10020</v>
      </c>
      <c r="R12" s="259">
        <f>2645958/100</f>
        <v>26459.58</v>
      </c>
      <c r="S12" s="260">
        <v>2697.1609025744738</v>
      </c>
      <c r="T12" s="261">
        <v>5916</v>
      </c>
      <c r="U12" s="262">
        <v>5815</v>
      </c>
      <c r="V12" s="263" t="s">
        <v>427</v>
      </c>
      <c r="X12" s="264"/>
    </row>
    <row r="13" spans="1:24" ht="18" customHeight="1">
      <c r="A13" s="4" t="s">
        <v>428</v>
      </c>
      <c r="B13" s="304">
        <v>16883036</v>
      </c>
      <c r="C13" s="265">
        <v>931496</v>
      </c>
      <c r="D13" s="251">
        <v>6.3</v>
      </c>
      <c r="E13" s="251">
        <v>85.3</v>
      </c>
      <c r="F13" s="252">
        <v>44.8</v>
      </c>
      <c r="G13" s="253">
        <v>1324.2</v>
      </c>
      <c r="H13" s="266">
        <v>234</v>
      </c>
      <c r="I13" s="255">
        <v>49164</v>
      </c>
      <c r="J13" s="256">
        <v>94</v>
      </c>
      <c r="K13" s="267">
        <v>26969</v>
      </c>
      <c r="L13" s="254">
        <v>3</v>
      </c>
      <c r="M13" s="254">
        <v>1276</v>
      </c>
      <c r="N13" s="256">
        <v>61</v>
      </c>
      <c r="O13" s="254">
        <v>27233</v>
      </c>
      <c r="P13" s="257">
        <v>6</v>
      </c>
      <c r="Q13" s="258">
        <v>13255</v>
      </c>
      <c r="R13" s="259">
        <f>3157969/100</f>
        <v>31579.69</v>
      </c>
      <c r="S13" s="260">
        <v>2896.5628889600243</v>
      </c>
      <c r="T13" s="261">
        <v>5894</v>
      </c>
      <c r="U13" s="262">
        <v>5801</v>
      </c>
      <c r="V13" s="263" t="s">
        <v>428</v>
      </c>
      <c r="X13" s="264"/>
    </row>
    <row r="14" spans="1:24" ht="18" customHeight="1">
      <c r="A14" s="4" t="s">
        <v>429</v>
      </c>
      <c r="B14" s="304">
        <v>39436006</v>
      </c>
      <c r="C14" s="265">
        <v>1656294</v>
      </c>
      <c r="D14" s="251">
        <v>6.8</v>
      </c>
      <c r="E14" s="251">
        <v>72.900000000000006</v>
      </c>
      <c r="F14" s="252">
        <v>46.2</v>
      </c>
      <c r="G14" s="253">
        <v>1324.3</v>
      </c>
      <c r="H14" s="268">
        <v>412</v>
      </c>
      <c r="I14" s="255">
        <v>85322</v>
      </c>
      <c r="J14" s="256">
        <v>222</v>
      </c>
      <c r="K14" s="269">
        <v>46148</v>
      </c>
      <c r="L14" s="254">
        <v>6</v>
      </c>
      <c r="M14" s="254">
        <v>1411</v>
      </c>
      <c r="N14" s="256">
        <v>108</v>
      </c>
      <c r="O14" s="254">
        <v>45647</v>
      </c>
      <c r="P14" s="257">
        <v>8</v>
      </c>
      <c r="Q14" s="258">
        <v>15603</v>
      </c>
      <c r="R14" s="259">
        <f>5484538/100</f>
        <v>54845.38</v>
      </c>
      <c r="S14" s="260">
        <v>2942.7718148317463</v>
      </c>
      <c r="T14" s="261">
        <v>13576</v>
      </c>
      <c r="U14" s="262">
        <v>12640</v>
      </c>
      <c r="V14" s="263" t="s">
        <v>429</v>
      </c>
      <c r="X14" s="264"/>
    </row>
    <row r="15" spans="1:24" ht="18" customHeight="1">
      <c r="A15" s="4" t="s">
        <v>430</v>
      </c>
      <c r="B15" s="304">
        <v>55708212</v>
      </c>
      <c r="C15" s="265">
        <v>2629527</v>
      </c>
      <c r="D15" s="251">
        <v>6</v>
      </c>
      <c r="E15" s="251">
        <v>61.2</v>
      </c>
      <c r="F15" s="252">
        <v>49.1</v>
      </c>
      <c r="G15" s="253">
        <v>1078.8</v>
      </c>
      <c r="H15" s="266">
        <v>466</v>
      </c>
      <c r="I15" s="255">
        <v>135782</v>
      </c>
      <c r="J15" s="256">
        <v>226</v>
      </c>
      <c r="K15" s="267">
        <v>72465</v>
      </c>
      <c r="L15" s="254">
        <v>12</v>
      </c>
      <c r="M15" s="254">
        <v>9271</v>
      </c>
      <c r="N15" s="256">
        <v>119</v>
      </c>
      <c r="O15" s="254">
        <v>71842</v>
      </c>
      <c r="P15" s="257">
        <v>10</v>
      </c>
      <c r="Q15" s="258">
        <v>38455</v>
      </c>
      <c r="R15" s="259">
        <f>9573309/100</f>
        <v>95733.09</v>
      </c>
      <c r="S15" s="260">
        <v>3327.3051262409654</v>
      </c>
      <c r="T15" s="261">
        <v>10752</v>
      </c>
      <c r="U15" s="262">
        <v>10421</v>
      </c>
      <c r="V15" s="263" t="s">
        <v>430</v>
      </c>
      <c r="X15" s="264"/>
    </row>
    <row r="16" spans="1:24" ht="18" customHeight="1">
      <c r="A16" s="4" t="s">
        <v>431</v>
      </c>
      <c r="B16" s="304">
        <v>25560164</v>
      </c>
      <c r="C16" s="265">
        <v>1740658</v>
      </c>
      <c r="D16" s="251">
        <v>5.5</v>
      </c>
      <c r="E16" s="251">
        <v>75.5</v>
      </c>
      <c r="F16" s="252">
        <v>50.9</v>
      </c>
      <c r="G16" s="253">
        <v>1082.2</v>
      </c>
      <c r="H16" s="266">
        <v>351</v>
      </c>
      <c r="I16" s="255">
        <v>95315</v>
      </c>
      <c r="J16" s="256">
        <v>163</v>
      </c>
      <c r="K16" s="267">
        <v>51170</v>
      </c>
      <c r="L16" s="254">
        <v>3</v>
      </c>
      <c r="M16" s="254">
        <v>1151</v>
      </c>
      <c r="N16" s="256">
        <v>75</v>
      </c>
      <c r="O16" s="254">
        <v>49674</v>
      </c>
      <c r="P16" s="257">
        <v>9</v>
      </c>
      <c r="Q16" s="258">
        <v>22947</v>
      </c>
      <c r="R16" s="259">
        <f>6770351/100</f>
        <v>67703.509999999995</v>
      </c>
      <c r="S16" s="260">
        <v>3479.1937527814125</v>
      </c>
      <c r="T16" s="261">
        <v>7594</v>
      </c>
      <c r="U16" s="262">
        <v>7430</v>
      </c>
      <c r="V16" s="263" t="s">
        <v>431</v>
      </c>
      <c r="X16" s="264"/>
    </row>
    <row r="17" spans="1:24" ht="18" customHeight="1">
      <c r="A17" s="4" t="s">
        <v>432</v>
      </c>
      <c r="B17" s="304">
        <v>35005789</v>
      </c>
      <c r="C17" s="265">
        <v>1805410</v>
      </c>
      <c r="D17" s="251">
        <v>6.7</v>
      </c>
      <c r="E17" s="251">
        <v>79.900000000000006</v>
      </c>
      <c r="F17" s="252">
        <v>50.7</v>
      </c>
      <c r="G17" s="253">
        <v>1230.9000000000001</v>
      </c>
      <c r="H17" s="266">
        <v>306</v>
      </c>
      <c r="I17" s="255">
        <v>94185</v>
      </c>
      <c r="J17" s="256">
        <v>166</v>
      </c>
      <c r="K17" s="267">
        <v>50841</v>
      </c>
      <c r="L17" s="254">
        <v>1</v>
      </c>
      <c r="M17" s="254">
        <v>782</v>
      </c>
      <c r="N17" s="256">
        <v>77</v>
      </c>
      <c r="O17" s="254">
        <v>48521</v>
      </c>
      <c r="P17" s="257">
        <v>15</v>
      </c>
      <c r="Q17" s="258">
        <v>30753</v>
      </c>
      <c r="R17" s="259">
        <f>6408622/100</f>
        <v>64086.22</v>
      </c>
      <c r="S17" s="260">
        <v>3282.8784894487321</v>
      </c>
      <c r="T17" s="261">
        <v>7412</v>
      </c>
      <c r="U17" s="262">
        <v>7312</v>
      </c>
      <c r="V17" s="263" t="s">
        <v>432</v>
      </c>
      <c r="X17" s="264"/>
    </row>
    <row r="18" spans="1:24" ht="18" customHeight="1">
      <c r="A18" s="4" t="s">
        <v>433</v>
      </c>
      <c r="B18" s="304">
        <v>43094167</v>
      </c>
      <c r="C18" s="265">
        <v>4162440</v>
      </c>
      <c r="D18" s="251">
        <v>4.7</v>
      </c>
      <c r="E18" s="251">
        <v>59.6</v>
      </c>
      <c r="F18" s="252">
        <v>48.4</v>
      </c>
      <c r="G18" s="253">
        <v>853.8</v>
      </c>
      <c r="H18" s="266">
        <v>812</v>
      </c>
      <c r="I18" s="255">
        <v>363199</v>
      </c>
      <c r="J18" s="256">
        <v>448</v>
      </c>
      <c r="K18" s="267">
        <v>187395</v>
      </c>
      <c r="L18" s="254">
        <v>1</v>
      </c>
      <c r="M18" s="254">
        <v>206</v>
      </c>
      <c r="N18" s="256">
        <v>193</v>
      </c>
      <c r="O18" s="254">
        <v>163986</v>
      </c>
      <c r="P18" s="257">
        <v>27</v>
      </c>
      <c r="Q18" s="258">
        <v>114113</v>
      </c>
      <c r="R18" s="259">
        <f>22332742/100</f>
        <v>223327.42</v>
      </c>
      <c r="S18" s="260">
        <v>3046.8394388610013</v>
      </c>
      <c r="T18" s="261">
        <v>17575</v>
      </c>
      <c r="U18" s="262">
        <v>17463</v>
      </c>
      <c r="V18" s="263" t="s">
        <v>433</v>
      </c>
      <c r="X18" s="264"/>
    </row>
    <row r="19" spans="1:24" ht="18" customHeight="1">
      <c r="A19" s="4" t="s">
        <v>434</v>
      </c>
      <c r="B19" s="304">
        <v>37611709</v>
      </c>
      <c r="C19" s="265">
        <v>3686414</v>
      </c>
      <c r="D19" s="251">
        <v>4.5999999999999996</v>
      </c>
      <c r="E19" s="251">
        <v>61</v>
      </c>
      <c r="F19" s="252">
        <v>52.3</v>
      </c>
      <c r="G19" s="253">
        <v>947.6</v>
      </c>
      <c r="H19" s="266">
        <v>764</v>
      </c>
      <c r="I19" s="255">
        <v>306105</v>
      </c>
      <c r="J19" s="256">
        <v>389</v>
      </c>
      <c r="K19" s="267">
        <v>158265</v>
      </c>
      <c r="L19" s="254">
        <v>3</v>
      </c>
      <c r="M19" s="254">
        <v>1398</v>
      </c>
      <c r="N19" s="256">
        <v>181</v>
      </c>
      <c r="O19" s="254">
        <v>141358</v>
      </c>
      <c r="P19" s="257">
        <v>27</v>
      </c>
      <c r="Q19" s="258">
        <v>116270</v>
      </c>
      <c r="R19" s="259">
        <f>19488246/100</f>
        <v>194882.46</v>
      </c>
      <c r="S19" s="260">
        <v>3115.8335844824237</v>
      </c>
      <c r="T19" s="261">
        <v>17091</v>
      </c>
      <c r="U19" s="262">
        <v>16551</v>
      </c>
      <c r="V19" s="263" t="s">
        <v>434</v>
      </c>
      <c r="X19" s="264"/>
    </row>
    <row r="20" spans="1:24" ht="18" customHeight="1">
      <c r="A20" s="4" t="s">
        <v>435</v>
      </c>
      <c r="B20" s="304">
        <v>24401895</v>
      </c>
      <c r="C20" s="265">
        <v>4408196</v>
      </c>
      <c r="D20" s="251">
        <v>4.5999999999999996</v>
      </c>
      <c r="E20" s="251">
        <v>98.5</v>
      </c>
      <c r="F20" s="252">
        <v>76.599999999999994</v>
      </c>
      <c r="G20" s="253">
        <v>915.3</v>
      </c>
      <c r="H20" s="266">
        <v>1328</v>
      </c>
      <c r="I20" s="255">
        <v>622820</v>
      </c>
      <c r="J20" s="256">
        <v>801</v>
      </c>
      <c r="K20" s="267">
        <v>311049</v>
      </c>
      <c r="L20" s="254">
        <v>8</v>
      </c>
      <c r="M20" s="254">
        <v>7917</v>
      </c>
      <c r="N20" s="256">
        <v>429</v>
      </c>
      <c r="O20" s="254">
        <v>301712</v>
      </c>
      <c r="P20" s="257">
        <v>143</v>
      </c>
      <c r="Q20" s="258">
        <v>763018</v>
      </c>
      <c r="R20" s="259">
        <f>74844516/100</f>
        <v>748445.16</v>
      </c>
      <c r="S20" s="260">
        <v>5414.8311262813058</v>
      </c>
      <c r="T20" s="261">
        <v>81129</v>
      </c>
      <c r="U20" s="262">
        <v>75811</v>
      </c>
      <c r="V20" s="263" t="s">
        <v>435</v>
      </c>
      <c r="X20" s="264"/>
    </row>
    <row r="21" spans="1:24" ht="18" customHeight="1">
      <c r="A21" s="4" t="s">
        <v>436</v>
      </c>
      <c r="B21" s="304">
        <v>13053433</v>
      </c>
      <c r="C21" s="265">
        <v>4032723</v>
      </c>
      <c r="D21" s="251">
        <v>3.7</v>
      </c>
      <c r="E21" s="251">
        <v>74.099999999999994</v>
      </c>
      <c r="F21" s="252">
        <v>53.8</v>
      </c>
      <c r="G21" s="253">
        <v>804.7</v>
      </c>
      <c r="H21" s="266">
        <v>885</v>
      </c>
      <c r="I21" s="255">
        <v>451098</v>
      </c>
      <c r="J21" s="256">
        <v>472</v>
      </c>
      <c r="K21" s="267">
        <v>226599</v>
      </c>
      <c r="L21" s="254">
        <v>3</v>
      </c>
      <c r="M21" s="254">
        <v>1536</v>
      </c>
      <c r="N21" s="256">
        <v>231</v>
      </c>
      <c r="O21" s="254">
        <v>195931</v>
      </c>
      <c r="P21" s="257">
        <v>31</v>
      </c>
      <c r="Q21" s="258">
        <v>183943</v>
      </c>
      <c r="R21" s="259">
        <f>29987547/100</f>
        <v>299875.46999999997</v>
      </c>
      <c r="S21" s="260">
        <v>3267.8297634176688</v>
      </c>
      <c r="T21" s="261">
        <v>18827</v>
      </c>
      <c r="U21" s="262">
        <v>18620</v>
      </c>
      <c r="V21" s="263" t="s">
        <v>436</v>
      </c>
      <c r="X21" s="264"/>
    </row>
    <row r="22" spans="1:24" ht="18" customHeight="1">
      <c r="A22" s="4" t="s">
        <v>437</v>
      </c>
      <c r="B22" s="304">
        <v>30731293</v>
      </c>
      <c r="C22" s="265">
        <v>1839402</v>
      </c>
      <c r="D22" s="251">
        <v>5.7</v>
      </c>
      <c r="E22" s="251">
        <v>75.2</v>
      </c>
      <c r="F22" s="252">
        <v>51.8</v>
      </c>
      <c r="G22" s="253">
        <v>1257.8</v>
      </c>
      <c r="H22" s="266">
        <v>444</v>
      </c>
      <c r="I22" s="255">
        <v>103679</v>
      </c>
      <c r="J22" s="256">
        <v>230</v>
      </c>
      <c r="K22" s="267">
        <v>53721</v>
      </c>
      <c r="L22" s="254">
        <v>1</v>
      </c>
      <c r="M22" s="254">
        <v>794</v>
      </c>
      <c r="N22" s="256">
        <v>101</v>
      </c>
      <c r="O22" s="254">
        <v>51594</v>
      </c>
      <c r="P22" s="257">
        <v>22</v>
      </c>
      <c r="Q22" s="258">
        <v>32413</v>
      </c>
      <c r="R22" s="259">
        <f>6548142/100</f>
        <v>65481.42</v>
      </c>
      <c r="S22" s="260">
        <v>2915.9097993462947</v>
      </c>
      <c r="T22" s="261">
        <v>10450</v>
      </c>
      <c r="U22" s="262">
        <v>10326</v>
      </c>
      <c r="V22" s="263" t="s">
        <v>437</v>
      </c>
      <c r="X22" s="264"/>
    </row>
    <row r="23" spans="1:24" ht="18" customHeight="1">
      <c r="A23" s="4" t="s">
        <v>438</v>
      </c>
      <c r="B23" s="304">
        <v>14044746</v>
      </c>
      <c r="C23" s="265">
        <v>901347</v>
      </c>
      <c r="D23" s="251">
        <v>10.199999999999999</v>
      </c>
      <c r="E23" s="251">
        <v>73</v>
      </c>
      <c r="F23" s="252">
        <v>42.4</v>
      </c>
      <c r="G23" s="253">
        <v>1516.7</v>
      </c>
      <c r="H23" s="266">
        <v>181</v>
      </c>
      <c r="I23" s="255">
        <v>47818</v>
      </c>
      <c r="J23" s="256">
        <v>77</v>
      </c>
      <c r="K23" s="267">
        <v>26146</v>
      </c>
      <c r="L23" s="254">
        <v>3</v>
      </c>
      <c r="M23" s="254">
        <v>409</v>
      </c>
      <c r="N23" s="256">
        <v>53</v>
      </c>
      <c r="O23" s="254">
        <v>26068</v>
      </c>
      <c r="P23" s="257">
        <v>5</v>
      </c>
      <c r="Q23" s="258">
        <v>12275</v>
      </c>
      <c r="R23" s="259">
        <f>3569696/100</f>
        <v>35696.959999999999</v>
      </c>
      <c r="S23" s="260">
        <v>3398.1408587461983</v>
      </c>
      <c r="T23" s="261">
        <v>5034</v>
      </c>
      <c r="U23" s="262">
        <v>4876</v>
      </c>
      <c r="V23" s="263" t="s">
        <v>438</v>
      </c>
      <c r="X23" s="264"/>
    </row>
    <row r="24" spans="1:24" ht="18" customHeight="1">
      <c r="A24" s="4" t="s">
        <v>439</v>
      </c>
      <c r="B24" s="304">
        <v>13175561</v>
      </c>
      <c r="C24" s="265">
        <v>917004</v>
      </c>
      <c r="D24" s="251">
        <v>8.3000000000000007</v>
      </c>
      <c r="E24" s="251">
        <v>76.599999999999994</v>
      </c>
      <c r="F24" s="252">
        <v>42.5</v>
      </c>
      <c r="G24" s="253">
        <v>1529.9</v>
      </c>
      <c r="H24" s="266">
        <v>203</v>
      </c>
      <c r="I24" s="255">
        <v>56620</v>
      </c>
      <c r="J24" s="256">
        <v>88</v>
      </c>
      <c r="K24" s="267">
        <v>30336</v>
      </c>
      <c r="L24" s="254">
        <v>3</v>
      </c>
      <c r="M24" s="254">
        <v>286</v>
      </c>
      <c r="N24" s="256">
        <v>56</v>
      </c>
      <c r="O24" s="254">
        <v>29764</v>
      </c>
      <c r="P24" s="257">
        <v>14</v>
      </c>
      <c r="Q24" s="258">
        <v>32220</v>
      </c>
      <c r="R24" s="259">
        <f>3456134/100</f>
        <v>34561.339999999997</v>
      </c>
      <c r="S24" s="260">
        <v>3022.6946943094908</v>
      </c>
      <c r="T24" s="261">
        <v>5417</v>
      </c>
      <c r="U24" s="262">
        <v>5308</v>
      </c>
      <c r="V24" s="263" t="s">
        <v>439</v>
      </c>
      <c r="X24" s="264"/>
    </row>
    <row r="25" spans="1:24" ht="18" customHeight="1">
      <c r="A25" s="4" t="s">
        <v>440</v>
      </c>
      <c r="B25" s="304">
        <v>10997434</v>
      </c>
      <c r="C25" s="265">
        <v>671579</v>
      </c>
      <c r="D25" s="251">
        <v>8.6999999999999993</v>
      </c>
      <c r="E25" s="251">
        <v>74.599999999999994</v>
      </c>
      <c r="F25" s="252">
        <v>39.1</v>
      </c>
      <c r="G25" s="253">
        <v>1368.4</v>
      </c>
      <c r="H25" s="266">
        <v>194</v>
      </c>
      <c r="I25" s="255">
        <v>39236</v>
      </c>
      <c r="J25" s="256">
        <v>83</v>
      </c>
      <c r="K25" s="267">
        <v>21196</v>
      </c>
      <c r="L25" s="254">
        <v>1</v>
      </c>
      <c r="M25" s="254">
        <v>716</v>
      </c>
      <c r="N25" s="256">
        <v>35</v>
      </c>
      <c r="O25" s="254">
        <v>20701</v>
      </c>
      <c r="P25" s="257">
        <v>6</v>
      </c>
      <c r="Q25" s="258">
        <v>11206</v>
      </c>
      <c r="R25" s="259">
        <f>2538479/100</f>
        <v>25384.79</v>
      </c>
      <c r="S25" s="260">
        <v>3279.8030422249872</v>
      </c>
      <c r="T25" s="261">
        <v>4462</v>
      </c>
      <c r="U25" s="262">
        <v>4373</v>
      </c>
      <c r="V25" s="263" t="s">
        <v>440</v>
      </c>
      <c r="X25" s="264"/>
    </row>
    <row r="26" spans="1:24" ht="18" customHeight="1">
      <c r="A26" s="4" t="s">
        <v>441</v>
      </c>
      <c r="B26" s="304">
        <v>11306649</v>
      </c>
      <c r="C26" s="265">
        <v>764245</v>
      </c>
      <c r="D26" s="251">
        <v>7.4</v>
      </c>
      <c r="E26" s="251">
        <v>86.1</v>
      </c>
      <c r="F26" s="252">
        <v>53.6</v>
      </c>
      <c r="G26" s="253">
        <v>1317.4</v>
      </c>
      <c r="H26" s="266">
        <v>177</v>
      </c>
      <c r="I26" s="255">
        <v>38572</v>
      </c>
      <c r="J26" s="256">
        <v>93</v>
      </c>
      <c r="K26" s="267">
        <v>20955</v>
      </c>
      <c r="L26" s="254">
        <v>0</v>
      </c>
      <c r="M26" s="254">
        <v>0</v>
      </c>
      <c r="N26" s="256">
        <v>43</v>
      </c>
      <c r="O26" s="254">
        <v>22717</v>
      </c>
      <c r="P26" s="257">
        <v>7</v>
      </c>
      <c r="Q26" s="258">
        <v>17197</v>
      </c>
      <c r="R26" s="259">
        <f>2583025/100</f>
        <v>25830.25</v>
      </c>
      <c r="S26" s="260">
        <v>3159.740911092626</v>
      </c>
      <c r="T26" s="261">
        <v>4684</v>
      </c>
      <c r="U26" s="262">
        <v>4520</v>
      </c>
      <c r="V26" s="263" t="s">
        <v>441</v>
      </c>
      <c r="X26" s="264"/>
    </row>
    <row r="27" spans="1:24" ht="18" customHeight="1">
      <c r="A27" s="4" t="s">
        <v>442</v>
      </c>
      <c r="B27" s="304">
        <v>48121824</v>
      </c>
      <c r="C27" s="265">
        <v>1910431</v>
      </c>
      <c r="D27" s="251">
        <v>6.2</v>
      </c>
      <c r="E27" s="251">
        <v>76.8</v>
      </c>
      <c r="F27" s="252">
        <v>49.4</v>
      </c>
      <c r="G27" s="253">
        <v>1141.4000000000001</v>
      </c>
      <c r="H27" s="266">
        <v>363</v>
      </c>
      <c r="I27" s="255">
        <v>101932</v>
      </c>
      <c r="J27" s="256">
        <v>196</v>
      </c>
      <c r="K27" s="267">
        <v>55189</v>
      </c>
      <c r="L27" s="254">
        <v>4</v>
      </c>
      <c r="M27" s="254">
        <v>805</v>
      </c>
      <c r="N27" s="256">
        <v>99</v>
      </c>
      <c r="O27" s="254">
        <v>52632</v>
      </c>
      <c r="P27" s="257">
        <v>11</v>
      </c>
      <c r="Q27" s="258">
        <v>19394</v>
      </c>
      <c r="R27" s="259">
        <f>6210039/100</f>
        <v>62100.39</v>
      </c>
      <c r="S27" s="260">
        <v>3009.7634951422433</v>
      </c>
      <c r="T27" s="261">
        <v>8568</v>
      </c>
      <c r="U27" s="262">
        <v>8392</v>
      </c>
      <c r="V27" s="263" t="s">
        <v>442</v>
      </c>
      <c r="X27" s="264"/>
    </row>
    <row r="28" spans="1:24" ht="18" customHeight="1">
      <c r="A28" s="4" t="s">
        <v>443</v>
      </c>
      <c r="B28" s="304">
        <v>30889931</v>
      </c>
      <c r="C28" s="265">
        <v>1688217</v>
      </c>
      <c r="D28" s="251">
        <v>4.9000000000000004</v>
      </c>
      <c r="E28" s="251">
        <v>79.900000000000006</v>
      </c>
      <c r="F28" s="252">
        <v>48.7</v>
      </c>
      <c r="G28" s="253">
        <v>1011.4</v>
      </c>
      <c r="H28" s="266">
        <v>362</v>
      </c>
      <c r="I28" s="255">
        <v>101805</v>
      </c>
      <c r="J28" s="256">
        <v>185</v>
      </c>
      <c r="K28" s="267">
        <v>54493</v>
      </c>
      <c r="L28" s="254">
        <v>3</v>
      </c>
      <c r="M28" s="254">
        <v>1289</v>
      </c>
      <c r="N28" s="256">
        <v>81</v>
      </c>
      <c r="O28" s="254">
        <v>50563</v>
      </c>
      <c r="P28" s="257">
        <v>13</v>
      </c>
      <c r="Q28" s="258">
        <v>22339</v>
      </c>
      <c r="R28" s="259">
        <f>5828352/100</f>
        <v>58283.519999999997</v>
      </c>
      <c r="S28" s="260">
        <v>2919.0054945908005</v>
      </c>
      <c r="T28" s="261">
        <v>7851</v>
      </c>
      <c r="U28" s="262">
        <v>7695</v>
      </c>
      <c r="V28" s="263" t="s">
        <v>443</v>
      </c>
      <c r="X28" s="264"/>
    </row>
    <row r="29" spans="1:24" ht="18" customHeight="1">
      <c r="A29" s="4" t="s">
        <v>444</v>
      </c>
      <c r="B29" s="304">
        <v>25312333</v>
      </c>
      <c r="C29" s="265">
        <v>2904876</v>
      </c>
      <c r="D29" s="251">
        <v>4.8</v>
      </c>
      <c r="E29" s="251">
        <v>75</v>
      </c>
      <c r="F29" s="252">
        <v>48.3</v>
      </c>
      <c r="G29" s="253">
        <v>1037.0999999999999</v>
      </c>
      <c r="H29" s="266">
        <v>502</v>
      </c>
      <c r="I29" s="255">
        <v>183614</v>
      </c>
      <c r="J29" s="256">
        <v>291</v>
      </c>
      <c r="K29" s="267">
        <v>98192</v>
      </c>
      <c r="L29" s="254">
        <v>1</v>
      </c>
      <c r="M29" s="254">
        <v>109</v>
      </c>
      <c r="N29" s="256">
        <v>138</v>
      </c>
      <c r="O29" s="254">
        <v>91613</v>
      </c>
      <c r="P29" s="257">
        <v>14</v>
      </c>
      <c r="Q29" s="258">
        <v>36495</v>
      </c>
      <c r="R29" s="259">
        <f>12556897/100</f>
        <v>125568.97</v>
      </c>
      <c r="S29" s="260">
        <v>3431.6253225800724</v>
      </c>
      <c r="T29" s="261">
        <v>11418</v>
      </c>
      <c r="U29" s="262">
        <v>11286</v>
      </c>
      <c r="V29" s="263" t="s">
        <v>444</v>
      </c>
      <c r="X29" s="264"/>
    </row>
    <row r="30" spans="1:24" ht="18" customHeight="1">
      <c r="A30" s="4" t="s">
        <v>445</v>
      </c>
      <c r="B30" s="304">
        <v>44135893</v>
      </c>
      <c r="C30" s="265">
        <v>5313538</v>
      </c>
      <c r="D30" s="251">
        <v>4.3</v>
      </c>
      <c r="E30" s="251">
        <v>72.2</v>
      </c>
      <c r="F30" s="252">
        <v>49.5</v>
      </c>
      <c r="G30" s="253">
        <v>888.8</v>
      </c>
      <c r="H30" s="266">
        <v>970</v>
      </c>
      <c r="I30" s="255">
        <v>405839</v>
      </c>
      <c r="J30" s="256">
        <v>439</v>
      </c>
      <c r="K30" s="267">
        <v>209151</v>
      </c>
      <c r="L30" s="254">
        <v>2</v>
      </c>
      <c r="M30" s="254">
        <v>442</v>
      </c>
      <c r="N30" s="256">
        <v>220</v>
      </c>
      <c r="O30" s="254">
        <v>185920</v>
      </c>
      <c r="P30" s="257">
        <v>52</v>
      </c>
      <c r="Q30" s="258">
        <v>192790</v>
      </c>
      <c r="R30" s="259">
        <f>28095688/100</f>
        <v>280956.88</v>
      </c>
      <c r="S30" s="260">
        <v>3727.8130234748946</v>
      </c>
      <c r="T30" s="261">
        <v>22959</v>
      </c>
      <c r="U30" s="262">
        <v>22569</v>
      </c>
      <c r="V30" s="263" t="s">
        <v>445</v>
      </c>
      <c r="X30" s="264"/>
    </row>
    <row r="31" spans="1:24" ht="18" customHeight="1">
      <c r="A31" s="4" t="s">
        <v>446</v>
      </c>
      <c r="B31" s="304">
        <v>25485454</v>
      </c>
      <c r="C31" s="265">
        <v>1526418</v>
      </c>
      <c r="D31" s="251">
        <v>5.2</v>
      </c>
      <c r="E31" s="251">
        <v>85.3</v>
      </c>
      <c r="F31" s="252">
        <v>46.2</v>
      </c>
      <c r="G31" s="253">
        <v>1101.7</v>
      </c>
      <c r="H31" s="266">
        <v>366</v>
      </c>
      <c r="I31" s="255">
        <v>90040</v>
      </c>
      <c r="J31" s="256">
        <v>168</v>
      </c>
      <c r="K31" s="267">
        <v>47567</v>
      </c>
      <c r="L31" s="254">
        <v>1</v>
      </c>
      <c r="M31" s="254">
        <v>263</v>
      </c>
      <c r="N31" s="256">
        <v>70</v>
      </c>
      <c r="O31" s="254">
        <v>44229</v>
      </c>
      <c r="P31" s="257">
        <v>7</v>
      </c>
      <c r="Q31" s="258">
        <v>15440</v>
      </c>
      <c r="R31" s="259">
        <f>5590654/100</f>
        <v>55906.54</v>
      </c>
      <c r="S31" s="260">
        <v>3120.9410183237537</v>
      </c>
      <c r="T31" s="261">
        <v>6853</v>
      </c>
      <c r="U31" s="262">
        <v>6614</v>
      </c>
      <c r="V31" s="263" t="s">
        <v>446</v>
      </c>
      <c r="X31" s="264"/>
    </row>
    <row r="32" spans="1:24" ht="18" customHeight="1">
      <c r="A32" s="4" t="s">
        <v>447</v>
      </c>
      <c r="B32" s="304">
        <v>12604819</v>
      </c>
      <c r="C32" s="265">
        <v>1048878</v>
      </c>
      <c r="D32" s="251">
        <v>4</v>
      </c>
      <c r="E32" s="251">
        <v>77.2</v>
      </c>
      <c r="F32" s="252">
        <v>40</v>
      </c>
      <c r="G32" s="253">
        <v>999.2</v>
      </c>
      <c r="H32" s="266">
        <v>220</v>
      </c>
      <c r="I32" s="255">
        <v>80289</v>
      </c>
      <c r="J32" s="256">
        <v>103</v>
      </c>
      <c r="K32" s="267">
        <v>41086</v>
      </c>
      <c r="L32" s="254">
        <v>2</v>
      </c>
      <c r="M32" s="254">
        <v>488</v>
      </c>
      <c r="N32" s="256">
        <v>56</v>
      </c>
      <c r="O32" s="254">
        <v>36673</v>
      </c>
      <c r="P32" s="257">
        <v>9</v>
      </c>
      <c r="Q32" s="258">
        <v>34760</v>
      </c>
      <c r="R32" s="259">
        <f>4687104/100</f>
        <v>46871.040000000001</v>
      </c>
      <c r="S32" s="260">
        <v>3318.4681718740044</v>
      </c>
      <c r="T32" s="261">
        <v>5256</v>
      </c>
      <c r="U32" s="262">
        <v>5200</v>
      </c>
      <c r="V32" s="263" t="s">
        <v>447</v>
      </c>
      <c r="X32" s="264"/>
    </row>
    <row r="33" spans="1:24" s="286" customFormat="1" ht="18" customHeight="1">
      <c r="A33" s="270" t="s">
        <v>448</v>
      </c>
      <c r="B33" s="271">
        <v>12071332</v>
      </c>
      <c r="C33" s="272">
        <v>1341472</v>
      </c>
      <c r="D33" s="273">
        <v>6.4</v>
      </c>
      <c r="E33" s="273">
        <v>94.9</v>
      </c>
      <c r="F33" s="274">
        <v>50.3</v>
      </c>
      <c r="G33" s="275">
        <v>1340.8</v>
      </c>
      <c r="H33" s="276">
        <v>368</v>
      </c>
      <c r="I33" s="277">
        <v>119892</v>
      </c>
      <c r="J33" s="278">
        <v>189</v>
      </c>
      <c r="K33" s="279">
        <v>65187</v>
      </c>
      <c r="L33" s="280">
        <v>10</v>
      </c>
      <c r="M33" s="280">
        <v>4638</v>
      </c>
      <c r="N33" s="278">
        <v>111</v>
      </c>
      <c r="O33" s="280">
        <v>66457</v>
      </c>
      <c r="P33" s="281">
        <v>34</v>
      </c>
      <c r="Q33" s="281">
        <v>163312</v>
      </c>
      <c r="R33" s="282">
        <f>7727788/100</f>
        <v>77277.88</v>
      </c>
      <c r="S33" s="283">
        <v>2982.6712390891948</v>
      </c>
      <c r="T33" s="284">
        <v>8712</v>
      </c>
      <c r="U33" s="285">
        <v>8666</v>
      </c>
      <c r="V33" s="102" t="s">
        <v>448</v>
      </c>
      <c r="X33" s="287"/>
    </row>
    <row r="34" spans="1:24" ht="18" customHeight="1">
      <c r="A34" s="4" t="s">
        <v>449</v>
      </c>
      <c r="B34" s="304">
        <v>13918725</v>
      </c>
      <c r="C34" s="265">
        <v>3800515</v>
      </c>
      <c r="D34" s="251">
        <v>5.8</v>
      </c>
      <c r="E34" s="251">
        <v>96.9</v>
      </c>
      <c r="F34" s="252">
        <v>62.6</v>
      </c>
      <c r="G34" s="253">
        <v>1197</v>
      </c>
      <c r="H34" s="266">
        <v>994</v>
      </c>
      <c r="I34" s="255">
        <v>422433</v>
      </c>
      <c r="J34" s="256">
        <v>517</v>
      </c>
      <c r="K34" s="267">
        <v>221610</v>
      </c>
      <c r="L34" s="254">
        <v>7</v>
      </c>
      <c r="M34" s="254">
        <v>4228</v>
      </c>
      <c r="N34" s="256">
        <v>254</v>
      </c>
      <c r="O34" s="254">
        <v>207262</v>
      </c>
      <c r="P34" s="257">
        <v>56</v>
      </c>
      <c r="Q34" s="258">
        <v>250268</v>
      </c>
      <c r="R34" s="259">
        <f>28108869/100</f>
        <v>281088.69</v>
      </c>
      <c r="S34" s="260">
        <v>3189.5068830762111</v>
      </c>
      <c r="T34" s="261">
        <v>25822</v>
      </c>
      <c r="U34" s="262">
        <v>25263</v>
      </c>
      <c r="V34" s="263" t="s">
        <v>449</v>
      </c>
      <c r="X34" s="264"/>
    </row>
    <row r="35" spans="1:24" ht="18" customHeight="1">
      <c r="A35" s="4" t="s">
        <v>450</v>
      </c>
      <c r="B35" s="304">
        <v>30728033</v>
      </c>
      <c r="C35" s="265">
        <v>3043551</v>
      </c>
      <c r="D35" s="251">
        <v>6.4</v>
      </c>
      <c r="E35" s="251">
        <v>93.8</v>
      </c>
      <c r="F35" s="252">
        <v>54.6</v>
      </c>
      <c r="G35" s="253">
        <v>1178.9000000000001</v>
      </c>
      <c r="H35" s="266">
        <v>747</v>
      </c>
      <c r="I35" s="255">
        <v>278500</v>
      </c>
      <c r="J35" s="256">
        <v>380</v>
      </c>
      <c r="K35" s="267">
        <v>143075</v>
      </c>
      <c r="L35" s="254">
        <v>7</v>
      </c>
      <c r="M35" s="254">
        <v>4034</v>
      </c>
      <c r="N35" s="256">
        <v>205</v>
      </c>
      <c r="O35" s="254">
        <v>128298</v>
      </c>
      <c r="P35" s="257">
        <v>36</v>
      </c>
      <c r="Q35" s="258">
        <v>125817</v>
      </c>
      <c r="R35" s="259">
        <f>16276250/100</f>
        <v>162762.5</v>
      </c>
      <c r="S35" s="260">
        <v>2967.7492877492878</v>
      </c>
      <c r="T35" s="261">
        <v>18433</v>
      </c>
      <c r="U35" s="262">
        <v>18353</v>
      </c>
      <c r="V35" s="263" t="s">
        <v>450</v>
      </c>
      <c r="X35" s="264"/>
    </row>
    <row r="36" spans="1:24" ht="18" customHeight="1">
      <c r="A36" s="4" t="s">
        <v>451</v>
      </c>
      <c r="B36" s="304">
        <v>12771085</v>
      </c>
      <c r="C36" s="265">
        <v>836445</v>
      </c>
      <c r="D36" s="251">
        <v>5.9</v>
      </c>
      <c r="E36" s="251">
        <v>91.4</v>
      </c>
      <c r="F36" s="252">
        <v>51.2</v>
      </c>
      <c r="G36" s="253">
        <v>1244.5</v>
      </c>
      <c r="H36" s="266">
        <v>196</v>
      </c>
      <c r="I36" s="255">
        <v>65989</v>
      </c>
      <c r="J36" s="256">
        <v>109</v>
      </c>
      <c r="K36" s="267">
        <v>35964</v>
      </c>
      <c r="L36" s="254">
        <v>4</v>
      </c>
      <c r="M36" s="254">
        <v>146</v>
      </c>
      <c r="N36" s="256">
        <v>59</v>
      </c>
      <c r="O36" s="254">
        <v>32530</v>
      </c>
      <c r="P36" s="257">
        <v>11</v>
      </c>
      <c r="Q36" s="258">
        <v>23174</v>
      </c>
      <c r="R36" s="259">
        <f>3523616/100</f>
        <v>35236.160000000003</v>
      </c>
      <c r="S36" s="260">
        <v>2631.5063879236241</v>
      </c>
      <c r="T36" s="261">
        <v>5143</v>
      </c>
      <c r="U36" s="262">
        <v>5068</v>
      </c>
      <c r="V36" s="263" t="s">
        <v>451</v>
      </c>
      <c r="X36" s="264"/>
    </row>
    <row r="37" spans="1:24" ht="18" customHeight="1">
      <c r="A37" s="4" t="s">
        <v>452</v>
      </c>
      <c r="B37" s="304">
        <v>13851725</v>
      </c>
      <c r="C37" s="265">
        <v>757151</v>
      </c>
      <c r="D37" s="251">
        <v>9</v>
      </c>
      <c r="E37" s="251">
        <v>110.8</v>
      </c>
      <c r="F37" s="252">
        <v>57</v>
      </c>
      <c r="G37" s="253">
        <v>1431.4</v>
      </c>
      <c r="H37" s="266">
        <v>247</v>
      </c>
      <c r="I37" s="255">
        <v>43676</v>
      </c>
      <c r="J37" s="256">
        <v>128</v>
      </c>
      <c r="K37" s="267">
        <v>23677</v>
      </c>
      <c r="L37" s="254">
        <v>1</v>
      </c>
      <c r="M37" s="254">
        <v>746</v>
      </c>
      <c r="N37" s="256">
        <v>47</v>
      </c>
      <c r="O37" s="254">
        <v>23349</v>
      </c>
      <c r="P37" s="257">
        <v>5</v>
      </c>
      <c r="Q37" s="258">
        <v>9446</v>
      </c>
      <c r="R37" s="259">
        <f>2722563/100</f>
        <v>27225.63</v>
      </c>
      <c r="S37" s="260">
        <v>2912.7448494554978</v>
      </c>
      <c r="T37" s="261">
        <v>5485</v>
      </c>
      <c r="U37" s="262">
        <v>5359</v>
      </c>
      <c r="V37" s="263" t="s">
        <v>452</v>
      </c>
      <c r="X37" s="264"/>
    </row>
    <row r="38" spans="1:24" ht="18" customHeight="1">
      <c r="A38" s="4" t="s">
        <v>453</v>
      </c>
      <c r="B38" s="304">
        <v>8928745</v>
      </c>
      <c r="C38" s="265">
        <v>467730</v>
      </c>
      <c r="D38" s="251">
        <v>7.7</v>
      </c>
      <c r="E38" s="251">
        <v>89.4</v>
      </c>
      <c r="F38" s="252">
        <v>46.6</v>
      </c>
      <c r="G38" s="253">
        <v>1514.6</v>
      </c>
      <c r="H38" s="266">
        <v>118</v>
      </c>
      <c r="I38" s="255">
        <v>28027</v>
      </c>
      <c r="J38" s="256">
        <v>58</v>
      </c>
      <c r="K38" s="267">
        <v>14316</v>
      </c>
      <c r="L38" s="254">
        <v>4</v>
      </c>
      <c r="M38" s="254">
        <v>793</v>
      </c>
      <c r="N38" s="256">
        <v>32</v>
      </c>
      <c r="O38" s="254">
        <v>14321</v>
      </c>
      <c r="P38" s="257">
        <v>3</v>
      </c>
      <c r="Q38" s="258">
        <v>7785</v>
      </c>
      <c r="R38" s="259">
        <f>1409584/100</f>
        <v>14095.84</v>
      </c>
      <c r="S38" s="260">
        <v>2515.3310956339878</v>
      </c>
      <c r="T38" s="261">
        <v>3512</v>
      </c>
      <c r="U38" s="262">
        <v>3463</v>
      </c>
      <c r="V38" s="263" t="s">
        <v>453</v>
      </c>
      <c r="X38" s="264"/>
    </row>
    <row r="39" spans="1:24" ht="18" customHeight="1">
      <c r="A39" s="4" t="s">
        <v>454</v>
      </c>
      <c r="B39" s="304">
        <v>18272525</v>
      </c>
      <c r="C39" s="265">
        <v>554872</v>
      </c>
      <c r="D39" s="251">
        <v>7.3</v>
      </c>
      <c r="E39" s="251">
        <v>106.1</v>
      </c>
      <c r="F39" s="252">
        <v>39.799999999999997</v>
      </c>
      <c r="G39" s="253">
        <v>1524.3</v>
      </c>
      <c r="H39" s="266">
        <v>197</v>
      </c>
      <c r="I39" s="255">
        <v>33162</v>
      </c>
      <c r="J39" s="256">
        <v>95</v>
      </c>
      <c r="K39" s="267">
        <v>17040</v>
      </c>
      <c r="L39" s="254">
        <v>3</v>
      </c>
      <c r="M39" s="254">
        <v>1649</v>
      </c>
      <c r="N39" s="256">
        <v>47</v>
      </c>
      <c r="O39" s="254">
        <v>17145</v>
      </c>
      <c r="P39" s="257">
        <v>2</v>
      </c>
      <c r="Q39" s="258">
        <v>8085</v>
      </c>
      <c r="R39" s="259">
        <f>1813816/100</f>
        <v>18138.16</v>
      </c>
      <c r="S39" s="260">
        <v>2667.2548751453978</v>
      </c>
      <c r="T39" s="261">
        <v>4872</v>
      </c>
      <c r="U39" s="262">
        <v>4645</v>
      </c>
      <c r="V39" s="263" t="s">
        <v>454</v>
      </c>
      <c r="X39" s="264"/>
    </row>
    <row r="40" spans="1:24" ht="18" customHeight="1">
      <c r="A40" s="4" t="s">
        <v>455</v>
      </c>
      <c r="B40" s="304">
        <v>25795633</v>
      </c>
      <c r="C40" s="265">
        <v>1552668</v>
      </c>
      <c r="D40" s="288">
        <v>8.5</v>
      </c>
      <c r="E40" s="251">
        <v>87.3</v>
      </c>
      <c r="F40" s="252">
        <v>52.3</v>
      </c>
      <c r="G40" s="253">
        <v>1462.5</v>
      </c>
      <c r="H40" s="266">
        <v>389</v>
      </c>
      <c r="I40" s="255">
        <v>97981</v>
      </c>
      <c r="J40" s="256">
        <v>165</v>
      </c>
      <c r="K40" s="267">
        <v>50820</v>
      </c>
      <c r="L40" s="254">
        <v>0</v>
      </c>
      <c r="M40" s="254">
        <v>0</v>
      </c>
      <c r="N40" s="256">
        <v>86</v>
      </c>
      <c r="O40" s="254">
        <v>49501</v>
      </c>
      <c r="P40" s="257">
        <v>18</v>
      </c>
      <c r="Q40" s="258">
        <v>43366</v>
      </c>
      <c r="R40" s="259">
        <f>5256332/100</f>
        <v>52563.32</v>
      </c>
      <c r="S40" s="260">
        <v>2769.0599224438256</v>
      </c>
      <c r="T40" s="261">
        <v>7067</v>
      </c>
      <c r="U40" s="262">
        <v>6983</v>
      </c>
      <c r="V40" s="263" t="s">
        <v>455</v>
      </c>
      <c r="X40" s="264"/>
    </row>
    <row r="41" spans="1:24" ht="18" customHeight="1">
      <c r="A41" s="4" t="s">
        <v>456</v>
      </c>
      <c r="B41" s="304">
        <v>24770466</v>
      </c>
      <c r="C41" s="265">
        <v>1914664</v>
      </c>
      <c r="D41" s="251">
        <v>8.5</v>
      </c>
      <c r="E41" s="251">
        <v>91.4</v>
      </c>
      <c r="F41" s="252">
        <v>55.1</v>
      </c>
      <c r="G41" s="253">
        <v>1381.7</v>
      </c>
      <c r="H41" s="266">
        <v>471</v>
      </c>
      <c r="I41" s="255">
        <v>147671</v>
      </c>
      <c r="J41" s="256">
        <v>266</v>
      </c>
      <c r="K41" s="267">
        <v>75326</v>
      </c>
      <c r="L41" s="254">
        <v>5</v>
      </c>
      <c r="M41" s="254">
        <v>1651</v>
      </c>
      <c r="N41" s="256">
        <v>129</v>
      </c>
      <c r="O41" s="254">
        <v>68044</v>
      </c>
      <c r="P41" s="257">
        <v>21</v>
      </c>
      <c r="Q41" s="258">
        <v>61721</v>
      </c>
      <c r="R41" s="259">
        <f>8758916/100</f>
        <v>87589.16</v>
      </c>
      <c r="S41" s="260">
        <v>3109.1330728106382</v>
      </c>
      <c r="T41" s="261">
        <v>9644</v>
      </c>
      <c r="U41" s="262">
        <v>9385</v>
      </c>
      <c r="V41" s="263" t="s">
        <v>456</v>
      </c>
      <c r="X41" s="264"/>
    </row>
    <row r="42" spans="1:24" ht="18" customHeight="1">
      <c r="A42" s="4" t="s">
        <v>457</v>
      </c>
      <c r="B42" s="304">
        <v>16751662</v>
      </c>
      <c r="C42" s="265">
        <v>1072072</v>
      </c>
      <c r="D42" s="251">
        <v>10.7</v>
      </c>
      <c r="E42" s="251">
        <v>91.3</v>
      </c>
      <c r="F42" s="252">
        <v>48.3</v>
      </c>
      <c r="G42" s="253">
        <v>1908.5</v>
      </c>
      <c r="H42" s="266">
        <v>300</v>
      </c>
      <c r="I42" s="255">
        <v>65000</v>
      </c>
      <c r="J42" s="256">
        <v>161</v>
      </c>
      <c r="K42" s="267">
        <v>33721</v>
      </c>
      <c r="L42" s="254">
        <v>0</v>
      </c>
      <c r="M42" s="254">
        <v>0</v>
      </c>
      <c r="N42" s="256">
        <v>78</v>
      </c>
      <c r="O42" s="254">
        <v>30983</v>
      </c>
      <c r="P42" s="257">
        <v>10</v>
      </c>
      <c r="Q42" s="258">
        <v>20187</v>
      </c>
      <c r="R42" s="259">
        <f>4383356/100</f>
        <v>43833.56</v>
      </c>
      <c r="S42" s="260">
        <v>3198.5400138935101</v>
      </c>
      <c r="T42" s="261">
        <v>6306</v>
      </c>
      <c r="U42" s="262">
        <v>6128</v>
      </c>
      <c r="V42" s="263" t="s">
        <v>457</v>
      </c>
      <c r="X42" s="264"/>
    </row>
    <row r="43" spans="1:24" ht="18" customHeight="1">
      <c r="A43" s="4" t="s">
        <v>458</v>
      </c>
      <c r="B43" s="304">
        <v>15332766</v>
      </c>
      <c r="C43" s="289">
        <v>620227</v>
      </c>
      <c r="D43" s="251">
        <v>14.7</v>
      </c>
      <c r="E43" s="251">
        <v>99.9</v>
      </c>
      <c r="F43" s="252">
        <v>59.2</v>
      </c>
      <c r="G43" s="253">
        <v>1931.6</v>
      </c>
      <c r="H43" s="266">
        <v>187</v>
      </c>
      <c r="I43" s="255">
        <v>34181</v>
      </c>
      <c r="J43" s="256">
        <v>89</v>
      </c>
      <c r="K43" s="267">
        <v>17432</v>
      </c>
      <c r="L43" s="254">
        <v>0</v>
      </c>
      <c r="M43" s="254">
        <v>0</v>
      </c>
      <c r="N43" s="256">
        <v>37</v>
      </c>
      <c r="O43" s="254">
        <v>16965</v>
      </c>
      <c r="P43" s="257">
        <v>4</v>
      </c>
      <c r="Q43" s="258">
        <v>13969</v>
      </c>
      <c r="R43" s="259">
        <f>2275879/100</f>
        <v>22758.79</v>
      </c>
      <c r="S43" s="260">
        <v>3092.3529491691238</v>
      </c>
      <c r="T43" s="261">
        <v>4837</v>
      </c>
      <c r="U43" s="262">
        <v>4604</v>
      </c>
      <c r="V43" s="263" t="s">
        <v>458</v>
      </c>
      <c r="X43" s="264"/>
    </row>
    <row r="44" spans="1:24" ht="18" customHeight="1">
      <c r="A44" s="4" t="s">
        <v>459</v>
      </c>
      <c r="B44" s="304">
        <v>10350894</v>
      </c>
      <c r="C44" s="289">
        <v>793250</v>
      </c>
      <c r="D44" s="251">
        <v>9.1999999999999993</v>
      </c>
      <c r="E44" s="251">
        <v>86.3</v>
      </c>
      <c r="F44" s="252">
        <v>49.7</v>
      </c>
      <c r="G44" s="253">
        <v>1512.1</v>
      </c>
      <c r="H44" s="266">
        <v>160</v>
      </c>
      <c r="I44" s="255">
        <v>49196</v>
      </c>
      <c r="J44" s="256">
        <v>75</v>
      </c>
      <c r="K44" s="267">
        <v>25629</v>
      </c>
      <c r="L44" s="254">
        <v>0</v>
      </c>
      <c r="M44" s="254">
        <v>0</v>
      </c>
      <c r="N44" s="256">
        <v>40</v>
      </c>
      <c r="O44" s="254">
        <v>24657</v>
      </c>
      <c r="P44" s="257">
        <v>4</v>
      </c>
      <c r="Q44" s="258">
        <v>9926</v>
      </c>
      <c r="R44" s="259">
        <f>2899075/100</f>
        <v>28990.75</v>
      </c>
      <c r="S44" s="260">
        <v>3013.4912352187866</v>
      </c>
      <c r="T44" s="261">
        <v>4469</v>
      </c>
      <c r="U44" s="262">
        <v>4361</v>
      </c>
      <c r="V44" s="263" t="s">
        <v>459</v>
      </c>
      <c r="X44" s="264"/>
    </row>
    <row r="45" spans="1:24" ht="18" customHeight="1">
      <c r="A45" s="4" t="s">
        <v>460</v>
      </c>
      <c r="B45" s="304">
        <v>18445400</v>
      </c>
      <c r="C45" s="289">
        <v>1026718</v>
      </c>
      <c r="D45" s="251">
        <v>10.1</v>
      </c>
      <c r="E45" s="251">
        <v>91.6</v>
      </c>
      <c r="F45" s="252">
        <v>49.3</v>
      </c>
      <c r="G45" s="253">
        <v>1581</v>
      </c>
      <c r="H45" s="266">
        <v>281</v>
      </c>
      <c r="I45" s="255">
        <v>66494</v>
      </c>
      <c r="J45" s="256">
        <v>132</v>
      </c>
      <c r="K45" s="267">
        <v>33330</v>
      </c>
      <c r="L45" s="254">
        <v>0</v>
      </c>
      <c r="M45" s="254">
        <v>0</v>
      </c>
      <c r="N45" s="256">
        <v>65</v>
      </c>
      <c r="O45" s="254">
        <v>31473</v>
      </c>
      <c r="P45" s="257">
        <v>5</v>
      </c>
      <c r="Q45" s="258">
        <v>17562</v>
      </c>
      <c r="R45" s="259">
        <f>3593060/100</f>
        <v>35930.6</v>
      </c>
      <c r="S45" s="260">
        <v>2658.0153767283655</v>
      </c>
      <c r="T45" s="261">
        <v>6388</v>
      </c>
      <c r="U45" s="262">
        <v>6237</v>
      </c>
      <c r="V45" s="263" t="s">
        <v>460</v>
      </c>
      <c r="X45" s="264"/>
    </row>
    <row r="46" spans="1:24" ht="18" customHeight="1">
      <c r="A46" s="4" t="s">
        <v>461</v>
      </c>
      <c r="B46" s="304">
        <v>14298811</v>
      </c>
      <c r="C46" s="289">
        <v>563703</v>
      </c>
      <c r="D46" s="251">
        <v>17.8</v>
      </c>
      <c r="E46" s="251">
        <v>78.7</v>
      </c>
      <c r="F46" s="252">
        <v>52</v>
      </c>
      <c r="G46" s="253">
        <v>2508.3000000000002</v>
      </c>
      <c r="H46" s="266">
        <v>225</v>
      </c>
      <c r="I46" s="255">
        <v>31226</v>
      </c>
      <c r="J46" s="256">
        <v>127</v>
      </c>
      <c r="K46" s="267">
        <v>16988</v>
      </c>
      <c r="L46" s="254">
        <v>2</v>
      </c>
      <c r="M46" s="254">
        <v>193</v>
      </c>
      <c r="N46" s="256">
        <v>46</v>
      </c>
      <c r="O46" s="254">
        <v>17139</v>
      </c>
      <c r="P46" s="257">
        <v>5</v>
      </c>
      <c r="Q46" s="258">
        <v>10272</v>
      </c>
      <c r="R46" s="259">
        <f>1866867/100</f>
        <v>18668.669999999998</v>
      </c>
      <c r="S46" s="260">
        <v>2643.8156929499837</v>
      </c>
      <c r="T46" s="261">
        <v>4573</v>
      </c>
      <c r="U46" s="262">
        <v>4494</v>
      </c>
      <c r="V46" s="263" t="s">
        <v>461</v>
      </c>
      <c r="X46" s="264"/>
    </row>
    <row r="47" spans="1:24" ht="18" customHeight="1">
      <c r="A47" s="4" t="s">
        <v>462</v>
      </c>
      <c r="B47" s="304">
        <v>29605271</v>
      </c>
      <c r="C47" s="289">
        <v>3424727</v>
      </c>
      <c r="D47" s="251">
        <v>9</v>
      </c>
      <c r="E47" s="251">
        <v>92.3</v>
      </c>
      <c r="F47" s="252">
        <v>60.4</v>
      </c>
      <c r="G47" s="253">
        <v>1643.3</v>
      </c>
      <c r="H47" s="266">
        <v>723</v>
      </c>
      <c r="I47" s="255">
        <v>279290</v>
      </c>
      <c r="J47" s="256">
        <v>360</v>
      </c>
      <c r="K47" s="267">
        <v>139657</v>
      </c>
      <c r="L47" s="254">
        <v>5</v>
      </c>
      <c r="M47" s="254">
        <v>1626</v>
      </c>
      <c r="N47" s="256">
        <v>164</v>
      </c>
      <c r="O47" s="254">
        <v>123508</v>
      </c>
      <c r="P47" s="257">
        <v>34</v>
      </c>
      <c r="Q47" s="258">
        <v>122597</v>
      </c>
      <c r="R47" s="259">
        <f>14735898/100</f>
        <v>147358.98000000001</v>
      </c>
      <c r="S47" s="260">
        <v>2885.2805228314869</v>
      </c>
      <c r="T47" s="261">
        <v>16569</v>
      </c>
      <c r="U47" s="262">
        <v>16167</v>
      </c>
      <c r="V47" s="290" t="s">
        <v>462</v>
      </c>
      <c r="X47" s="264"/>
    </row>
    <row r="48" spans="1:24" ht="18" customHeight="1">
      <c r="A48" s="4" t="s">
        <v>463</v>
      </c>
      <c r="B48" s="304">
        <v>11037942</v>
      </c>
      <c r="C48" s="289">
        <v>684646</v>
      </c>
      <c r="D48" s="251">
        <v>12.4</v>
      </c>
      <c r="E48" s="251">
        <v>84.8</v>
      </c>
      <c r="F48" s="252">
        <v>51</v>
      </c>
      <c r="G48" s="253">
        <v>1786.6</v>
      </c>
      <c r="H48" s="266">
        <v>164</v>
      </c>
      <c r="I48" s="255">
        <v>43903</v>
      </c>
      <c r="J48" s="256">
        <v>92</v>
      </c>
      <c r="K48" s="267">
        <v>23530</v>
      </c>
      <c r="L48" s="254">
        <v>6</v>
      </c>
      <c r="M48" s="254">
        <v>2400</v>
      </c>
      <c r="N48" s="256">
        <v>45</v>
      </c>
      <c r="O48" s="254">
        <v>22422</v>
      </c>
      <c r="P48" s="257">
        <v>2</v>
      </c>
      <c r="Q48" s="258">
        <v>8671</v>
      </c>
      <c r="R48" s="259">
        <f>2254966/100</f>
        <v>22549.66</v>
      </c>
      <c r="S48" s="260">
        <v>2752.5970015160874</v>
      </c>
      <c r="T48" s="261">
        <v>4510</v>
      </c>
      <c r="U48" s="262">
        <v>4399</v>
      </c>
      <c r="V48" s="263" t="s">
        <v>463</v>
      </c>
      <c r="X48" s="264"/>
    </row>
    <row r="49" spans="1:24" ht="18" customHeight="1">
      <c r="A49" s="4" t="s">
        <v>464</v>
      </c>
      <c r="B49" s="304">
        <v>18077432</v>
      </c>
      <c r="C49" s="289">
        <v>956888</v>
      </c>
      <c r="D49" s="251">
        <v>11.2</v>
      </c>
      <c r="E49" s="251">
        <v>103.3</v>
      </c>
      <c r="F49" s="252">
        <v>54.9</v>
      </c>
      <c r="G49" s="253">
        <v>1957.5</v>
      </c>
      <c r="H49" s="266">
        <v>323</v>
      </c>
      <c r="I49" s="255">
        <v>68834</v>
      </c>
      <c r="J49" s="256">
        <v>186</v>
      </c>
      <c r="K49" s="267">
        <v>35782</v>
      </c>
      <c r="L49" s="254">
        <v>2</v>
      </c>
      <c r="M49" s="254">
        <v>55</v>
      </c>
      <c r="N49" s="256">
        <v>79</v>
      </c>
      <c r="O49" s="254">
        <v>34415</v>
      </c>
      <c r="P49" s="257">
        <v>8</v>
      </c>
      <c r="Q49" s="258">
        <v>18931</v>
      </c>
      <c r="R49" s="259">
        <f>3524676/100</f>
        <v>35246.76</v>
      </c>
      <c r="S49" s="260">
        <v>2629.1779800089512</v>
      </c>
      <c r="T49" s="261">
        <v>6914</v>
      </c>
      <c r="U49" s="262">
        <v>6746</v>
      </c>
      <c r="V49" s="263" t="s">
        <v>464</v>
      </c>
      <c r="X49" s="264"/>
    </row>
    <row r="50" spans="1:24" ht="18" customHeight="1">
      <c r="A50" s="4" t="s">
        <v>465</v>
      </c>
      <c r="B50" s="304">
        <v>22358300</v>
      </c>
      <c r="C50" s="289">
        <v>1396046</v>
      </c>
      <c r="D50" s="251">
        <v>12.1</v>
      </c>
      <c r="E50" s="251">
        <v>84</v>
      </c>
      <c r="F50" s="252">
        <v>48.3</v>
      </c>
      <c r="G50" s="253">
        <v>1941.1</v>
      </c>
      <c r="H50" s="266">
        <v>338</v>
      </c>
      <c r="I50" s="255">
        <v>96415</v>
      </c>
      <c r="J50" s="256">
        <v>172</v>
      </c>
      <c r="K50" s="267">
        <v>48862</v>
      </c>
      <c r="L50" s="254">
        <v>2</v>
      </c>
      <c r="M50" s="254">
        <v>149</v>
      </c>
      <c r="N50" s="256">
        <v>73</v>
      </c>
      <c r="O50" s="254">
        <v>44284</v>
      </c>
      <c r="P50" s="257">
        <v>9</v>
      </c>
      <c r="Q50" s="258">
        <v>27224</v>
      </c>
      <c r="R50" s="259">
        <f>4686425/100</f>
        <v>46864.25</v>
      </c>
      <c r="S50" s="260">
        <v>2667.4458818279509</v>
      </c>
      <c r="T50" s="261">
        <v>8253</v>
      </c>
      <c r="U50" s="262">
        <v>7976</v>
      </c>
      <c r="V50" s="263" t="s">
        <v>465</v>
      </c>
      <c r="X50" s="264"/>
    </row>
    <row r="51" spans="1:24" ht="18" customHeight="1">
      <c r="A51" s="4" t="s">
        <v>466</v>
      </c>
      <c r="B51" s="304">
        <v>18595909</v>
      </c>
      <c r="C51" s="289">
        <v>926540</v>
      </c>
      <c r="D51" s="251">
        <v>13.7</v>
      </c>
      <c r="E51" s="251">
        <v>83.6</v>
      </c>
      <c r="F51" s="252">
        <v>47.8</v>
      </c>
      <c r="G51" s="253">
        <v>1747.8</v>
      </c>
      <c r="H51" s="266">
        <v>266</v>
      </c>
      <c r="I51" s="255">
        <v>56464</v>
      </c>
      <c r="J51" s="256">
        <v>129</v>
      </c>
      <c r="K51" s="267">
        <v>29624</v>
      </c>
      <c r="L51" s="254">
        <v>2</v>
      </c>
      <c r="M51" s="254">
        <v>1283</v>
      </c>
      <c r="N51" s="256">
        <v>55</v>
      </c>
      <c r="O51" s="254">
        <v>29300</v>
      </c>
      <c r="P51" s="257">
        <v>5</v>
      </c>
      <c r="Q51" s="258">
        <v>16371</v>
      </c>
      <c r="R51" s="259">
        <f>3103307/100</f>
        <v>31033.07</v>
      </c>
      <c r="S51" s="260">
        <v>2713.6653593742485</v>
      </c>
      <c r="T51" s="261">
        <v>5920</v>
      </c>
      <c r="U51" s="262">
        <v>5708</v>
      </c>
      <c r="V51" s="263" t="s">
        <v>466</v>
      </c>
      <c r="X51" s="264"/>
    </row>
    <row r="52" spans="1:24" ht="18" customHeight="1">
      <c r="A52" s="4" t="s">
        <v>467</v>
      </c>
      <c r="B52" s="304">
        <v>20212113</v>
      </c>
      <c r="C52" s="289">
        <v>951096</v>
      </c>
      <c r="D52" s="251">
        <v>12.8</v>
      </c>
      <c r="E52" s="251">
        <v>83.8</v>
      </c>
      <c r="F52" s="252">
        <v>47.2</v>
      </c>
      <c r="G52" s="253">
        <v>1749.4</v>
      </c>
      <c r="H52" s="266">
        <v>235</v>
      </c>
      <c r="I52" s="255">
        <v>59639</v>
      </c>
      <c r="J52" s="256">
        <v>134</v>
      </c>
      <c r="K52" s="267">
        <v>30562</v>
      </c>
      <c r="L52" s="254">
        <v>2</v>
      </c>
      <c r="M52" s="254">
        <v>179</v>
      </c>
      <c r="N52" s="256">
        <v>51</v>
      </c>
      <c r="O52" s="254">
        <v>28856</v>
      </c>
      <c r="P52" s="257">
        <v>7</v>
      </c>
      <c r="Q52" s="258">
        <v>10596</v>
      </c>
      <c r="R52" s="259">
        <f>2666792/100</f>
        <v>26667.919999999998</v>
      </c>
      <c r="S52" s="260">
        <v>2467.570248423297</v>
      </c>
      <c r="T52" s="261">
        <v>5693</v>
      </c>
      <c r="U52" s="262">
        <v>5541</v>
      </c>
      <c r="V52" s="263" t="s">
        <v>467</v>
      </c>
      <c r="X52" s="264"/>
    </row>
    <row r="53" spans="1:24" ht="18" customHeight="1">
      <c r="A53" s="4" t="s">
        <v>468</v>
      </c>
      <c r="B53" s="304">
        <v>27423549</v>
      </c>
      <c r="C53" s="289">
        <v>1357360</v>
      </c>
      <c r="D53" s="251">
        <v>15</v>
      </c>
      <c r="E53" s="251">
        <v>85.8</v>
      </c>
      <c r="F53" s="252">
        <v>50</v>
      </c>
      <c r="G53" s="253">
        <v>2061.3000000000002</v>
      </c>
      <c r="H53" s="266">
        <v>498</v>
      </c>
      <c r="I53" s="255">
        <v>88636</v>
      </c>
      <c r="J53" s="256">
        <v>223</v>
      </c>
      <c r="K53" s="267">
        <v>45294</v>
      </c>
      <c r="L53" s="254">
        <v>9</v>
      </c>
      <c r="M53" s="254">
        <v>993</v>
      </c>
      <c r="N53" s="256">
        <v>89</v>
      </c>
      <c r="O53" s="254">
        <v>43029</v>
      </c>
      <c r="P53" s="257">
        <v>6</v>
      </c>
      <c r="Q53" s="258">
        <v>17289</v>
      </c>
      <c r="R53" s="259">
        <f>4049381/100</f>
        <v>40493.81</v>
      </c>
      <c r="S53" s="260">
        <v>2508.5480224973717</v>
      </c>
      <c r="T53" s="261">
        <v>8023</v>
      </c>
      <c r="U53" s="262">
        <v>7697</v>
      </c>
      <c r="V53" s="263" t="s">
        <v>468</v>
      </c>
      <c r="X53" s="264"/>
    </row>
    <row r="54" spans="1:24" ht="18" customHeight="1">
      <c r="A54" s="6" t="s">
        <v>469</v>
      </c>
      <c r="B54" s="304">
        <v>8208928</v>
      </c>
      <c r="C54" s="250">
        <v>1168544</v>
      </c>
      <c r="D54" s="251">
        <v>6.3</v>
      </c>
      <c r="E54" s="251">
        <v>62</v>
      </c>
      <c r="F54" s="252">
        <v>42.2</v>
      </c>
      <c r="G54" s="291">
        <v>1278</v>
      </c>
      <c r="H54" s="266">
        <v>268</v>
      </c>
      <c r="I54" s="255">
        <v>101342</v>
      </c>
      <c r="J54" s="256">
        <v>149</v>
      </c>
      <c r="K54" s="267">
        <v>49716</v>
      </c>
      <c r="L54" s="254">
        <v>0</v>
      </c>
      <c r="M54" s="254">
        <v>0</v>
      </c>
      <c r="N54" s="256">
        <v>63</v>
      </c>
      <c r="O54" s="254">
        <v>43221</v>
      </c>
      <c r="P54" s="257">
        <v>8</v>
      </c>
      <c r="Q54" s="258">
        <v>19455</v>
      </c>
      <c r="R54" s="292">
        <f>3461073/100</f>
        <v>34610.730000000003</v>
      </c>
      <c r="S54" s="293">
        <v>2390.968670750317</v>
      </c>
      <c r="T54" s="261">
        <v>7142</v>
      </c>
      <c r="U54" s="262">
        <v>7031</v>
      </c>
      <c r="V54" s="294" t="s">
        <v>469</v>
      </c>
      <c r="X54" s="264"/>
    </row>
    <row r="55" spans="1:24">
      <c r="A55" s="428" t="s">
        <v>368</v>
      </c>
      <c r="B55" s="430" t="s">
        <v>470</v>
      </c>
      <c r="C55" s="432" t="s">
        <v>471</v>
      </c>
      <c r="D55" s="352" t="s">
        <v>472</v>
      </c>
      <c r="E55" s="385"/>
      <c r="F55" s="385"/>
      <c r="G55" s="343"/>
      <c r="H55" s="337" t="s">
        <v>473</v>
      </c>
      <c r="I55" s="338"/>
      <c r="J55" s="338"/>
      <c r="K55" s="338"/>
      <c r="L55" s="338"/>
      <c r="M55" s="338"/>
      <c r="N55" s="338"/>
      <c r="O55" s="338"/>
      <c r="P55" s="338"/>
      <c r="Q55" s="339"/>
      <c r="R55" s="434" t="s">
        <v>474</v>
      </c>
      <c r="S55" s="441"/>
      <c r="T55" s="434" t="s">
        <v>475</v>
      </c>
      <c r="U55" s="435"/>
      <c r="V55" s="438"/>
      <c r="X55" s="295"/>
    </row>
    <row r="56" spans="1:24">
      <c r="A56" s="429"/>
      <c r="B56" s="431"/>
      <c r="C56" s="433"/>
      <c r="D56" s="350"/>
      <c r="E56" s="417"/>
      <c r="F56" s="417"/>
      <c r="G56" s="344"/>
      <c r="H56" s="340"/>
      <c r="I56" s="341"/>
      <c r="J56" s="341"/>
      <c r="K56" s="341"/>
      <c r="L56" s="341"/>
      <c r="M56" s="341"/>
      <c r="N56" s="341"/>
      <c r="O56" s="341"/>
      <c r="P56" s="341"/>
      <c r="Q56" s="342"/>
      <c r="R56" s="442"/>
      <c r="S56" s="443"/>
      <c r="T56" s="436"/>
      <c r="U56" s="437"/>
      <c r="V56" s="439"/>
    </row>
    <row r="57" spans="1:24" s="1" customFormat="1">
      <c r="A57" s="296" t="s">
        <v>476</v>
      </c>
      <c r="B57" s="297"/>
      <c r="C57" s="298"/>
      <c r="D57" s="198"/>
      <c r="E57" s="198"/>
      <c r="F57" s="198"/>
      <c r="G57" s="198"/>
      <c r="H57" s="299" t="s">
        <v>477</v>
      </c>
      <c r="I57" s="300"/>
      <c r="J57" s="300"/>
      <c r="K57" s="300"/>
      <c r="L57" s="300"/>
      <c r="M57" s="300"/>
      <c r="N57" s="198"/>
      <c r="O57" s="198"/>
      <c r="P57" s="198"/>
      <c r="Q57" s="198"/>
      <c r="R57" s="198"/>
      <c r="S57" s="198"/>
      <c r="T57" s="198"/>
      <c r="U57" s="198"/>
    </row>
    <row r="58" spans="1:24">
      <c r="B58" s="200" t="s">
        <v>478</v>
      </c>
      <c r="C58" s="298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T58" s="302"/>
      <c r="U58" s="302"/>
    </row>
    <row r="60" spans="1:24">
      <c r="T60" s="207"/>
    </row>
  </sheetData>
  <mergeCells count="27">
    <mergeCell ref="T55:U56"/>
    <mergeCell ref="V55:V56"/>
    <mergeCell ref="D4:D5"/>
    <mergeCell ref="R4:R5"/>
    <mergeCell ref="S4:S5"/>
    <mergeCell ref="R55:S56"/>
    <mergeCell ref="G3:G5"/>
    <mergeCell ref="H3:I4"/>
    <mergeCell ref="J3:K4"/>
    <mergeCell ref="L3:M4"/>
    <mergeCell ref="N3:O4"/>
    <mergeCell ref="P3:Q4"/>
    <mergeCell ref="A55:A56"/>
    <mergeCell ref="B55:B56"/>
    <mergeCell ref="C55:C56"/>
    <mergeCell ref="D55:G56"/>
    <mergeCell ref="H55:Q56"/>
    <mergeCell ref="A1:V1"/>
    <mergeCell ref="A2:A5"/>
    <mergeCell ref="B2:B5"/>
    <mergeCell ref="C2:C5"/>
    <mergeCell ref="D2:G2"/>
    <mergeCell ref="H2:Q2"/>
    <mergeCell ref="R2:S3"/>
    <mergeCell ref="T2:U4"/>
    <mergeCell ref="V2:V5"/>
    <mergeCell ref="D3:F3"/>
  </mergeCells>
  <phoneticPr fontId="6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0" hidden="1" customWidth="1"/>
    <col min="6" max="6" width="0.90625" style="7" hidden="1" customWidth="1"/>
    <col min="7" max="7" width="0.90625" style="7" customWidth="1"/>
    <col min="8" max="8" width="1.08984375" style="72" customWidth="1"/>
    <col min="9" max="9" width="10.90625" style="72" customWidth="1"/>
    <col min="10" max="10" width="2" style="72" customWidth="1"/>
    <col min="11" max="11" width="13" style="72" customWidth="1"/>
    <col min="12" max="14" width="10.36328125" style="73" customWidth="1"/>
    <col min="15" max="15" width="9.6328125" style="7" customWidth="1"/>
    <col min="16" max="16" width="10.90625" style="7" customWidth="1"/>
    <col min="17" max="17" width="9.453125" style="7" customWidth="1"/>
    <col min="18" max="18" width="10.36328125" style="7" customWidth="1"/>
    <col min="19" max="19" width="11.08984375" style="7" customWidth="1"/>
    <col min="20" max="20" width="11.453125" style="7" customWidth="1"/>
    <col min="21" max="21" width="10.453125" style="7" customWidth="1"/>
    <col min="22" max="22" width="10.08984375" style="7" customWidth="1"/>
    <col min="23" max="23" width="10.6328125" style="7" customWidth="1"/>
    <col min="24" max="24" width="11" style="7" customWidth="1"/>
    <col min="25" max="25" width="10.90625" style="7" customWidth="1"/>
    <col min="26" max="26" width="9.90625" style="7" customWidth="1"/>
    <col min="27" max="27" width="11" style="7" customWidth="1"/>
    <col min="28" max="28" width="10.90625" style="7" customWidth="1"/>
    <col min="29" max="29" width="9.6328125" style="7" customWidth="1"/>
    <col min="30" max="30" width="12.36328125" style="7" customWidth="1"/>
    <col min="31" max="32" width="10.6328125" style="7" customWidth="1"/>
    <col min="33" max="33" width="10.08984375" style="7" customWidth="1"/>
    <col min="34" max="34" width="8.453125" style="7" customWidth="1"/>
    <col min="35" max="35" width="10.6328125" style="7" customWidth="1"/>
    <col min="36" max="36" width="11.36328125" style="7" customWidth="1"/>
    <col min="37" max="38" width="10.90625" style="7" customWidth="1"/>
    <col min="39" max="39" width="10.08984375" style="7" customWidth="1"/>
    <col min="40" max="41" width="9" style="7"/>
    <col min="42" max="42" width="11.6328125" style="7" customWidth="1"/>
    <col min="43" max="43" width="13" style="7" customWidth="1"/>
    <col min="44" max="44" width="12.08984375" style="7" customWidth="1"/>
    <col min="45" max="58" width="9.36328125" style="7" customWidth="1"/>
    <col min="59" max="16384" width="9" style="7"/>
  </cols>
  <sheetData>
    <row r="1" spans="1:58" s="10" customFormat="1" ht="11.25" customHeight="1">
      <c r="A1" s="9"/>
      <c r="B1" s="9"/>
      <c r="C1" s="9"/>
      <c r="D1" s="9"/>
      <c r="E1" s="9"/>
      <c r="H1" s="11"/>
      <c r="I1" s="12"/>
      <c r="J1" s="11"/>
      <c r="K1" s="13"/>
      <c r="L1" s="14"/>
      <c r="M1" s="14"/>
      <c r="N1" s="14"/>
    </row>
    <row r="2" spans="1:58" s="18" customFormat="1" ht="17.25" customHeight="1">
      <c r="A2" s="15"/>
      <c r="B2" s="15"/>
      <c r="C2" s="15"/>
      <c r="D2" s="15"/>
      <c r="E2" s="15"/>
      <c r="F2" s="16"/>
      <c r="G2" s="16"/>
      <c r="H2" s="17"/>
      <c r="I2" s="17"/>
      <c r="J2" s="17"/>
      <c r="K2" s="17" t="s">
        <v>72</v>
      </c>
      <c r="L2" s="16"/>
      <c r="M2" s="16"/>
      <c r="N2" s="16"/>
      <c r="O2" s="16"/>
    </row>
    <row r="3" spans="1:58" s="18" customFormat="1" ht="17.25" customHeight="1">
      <c r="A3" s="15"/>
      <c r="B3" s="15"/>
      <c r="C3" s="15"/>
      <c r="D3" s="15"/>
      <c r="E3" s="15"/>
      <c r="F3" s="16"/>
      <c r="G3" s="16"/>
      <c r="H3" s="17"/>
      <c r="I3" s="17"/>
      <c r="J3" s="17"/>
      <c r="K3" s="19" t="s">
        <v>73</v>
      </c>
      <c r="L3" s="16"/>
      <c r="M3" s="16"/>
      <c r="N3" s="16"/>
      <c r="O3" s="16"/>
    </row>
    <row r="4" spans="1:58" ht="7.5" customHeight="1">
      <c r="F4" s="8"/>
      <c r="G4" s="8"/>
      <c r="H4" s="8"/>
      <c r="I4" s="8"/>
      <c r="J4" s="8"/>
      <c r="K4" s="8"/>
      <c r="L4" s="21"/>
      <c r="M4" s="8"/>
      <c r="N4" s="8"/>
      <c r="O4" s="8"/>
    </row>
    <row r="5" spans="1:58" s="25" customFormat="1" ht="17.25" customHeight="1">
      <c r="A5" s="22"/>
      <c r="B5" s="22"/>
      <c r="C5" s="22"/>
      <c r="D5" s="22"/>
      <c r="E5" s="22"/>
      <c r="F5" s="23"/>
      <c r="G5" s="23"/>
      <c r="H5" s="24"/>
      <c r="I5" s="23"/>
      <c r="J5" s="23"/>
      <c r="K5" s="23" t="s">
        <v>74</v>
      </c>
      <c r="L5" s="23"/>
      <c r="M5" s="23"/>
      <c r="N5" s="23"/>
      <c r="O5" s="23"/>
    </row>
    <row r="6" spans="1:58" s="25" customFormat="1" ht="17.25" customHeight="1">
      <c r="A6" s="22"/>
      <c r="B6" s="22"/>
      <c r="C6" s="22"/>
      <c r="D6" s="22"/>
      <c r="E6" s="22"/>
      <c r="F6" s="23"/>
      <c r="G6" s="23"/>
      <c r="H6" s="24"/>
      <c r="I6" s="23"/>
      <c r="J6" s="23"/>
      <c r="K6" s="23" t="s">
        <v>75</v>
      </c>
      <c r="L6" s="23"/>
      <c r="M6" s="23"/>
      <c r="N6" s="23"/>
      <c r="O6" s="23"/>
    </row>
    <row r="7" spans="1:58" ht="7.5" customHeight="1">
      <c r="F7" s="8"/>
      <c r="G7" s="8"/>
      <c r="H7" s="8"/>
      <c r="I7" s="8"/>
      <c r="J7" s="8"/>
      <c r="K7" s="8"/>
      <c r="L7" s="8"/>
      <c r="M7" s="8"/>
      <c r="N7" s="8"/>
      <c r="O7" s="8"/>
    </row>
    <row r="8" spans="1:58" s="33" customFormat="1" ht="12.75" customHeight="1">
      <c r="A8" s="26"/>
      <c r="B8" s="26"/>
      <c r="C8" s="26"/>
      <c r="D8" s="26"/>
      <c r="E8" s="26"/>
      <c r="F8" s="27"/>
      <c r="G8" s="27"/>
      <c r="H8" s="28"/>
      <c r="I8" s="29"/>
      <c r="J8" s="29"/>
      <c r="K8" s="30"/>
      <c r="L8" s="31"/>
      <c r="M8" s="31"/>
      <c r="N8" s="31"/>
      <c r="O8" s="3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12.75" customHeight="1">
      <c r="A9" s="26"/>
      <c r="B9" s="26"/>
      <c r="C9" s="26"/>
      <c r="D9" s="26"/>
      <c r="E9" s="26"/>
      <c r="F9" s="27"/>
      <c r="G9" s="27"/>
      <c r="H9" s="34"/>
      <c r="I9" s="35"/>
      <c r="J9" s="35"/>
      <c r="K9" s="36"/>
      <c r="L9" s="37" t="s">
        <v>76</v>
      </c>
      <c r="M9" s="37" t="s">
        <v>77</v>
      </c>
      <c r="N9" s="37" t="s">
        <v>78</v>
      </c>
      <c r="O9" s="37" t="s">
        <v>79</v>
      </c>
      <c r="P9" s="37" t="s">
        <v>80</v>
      </c>
      <c r="Q9" s="37" t="s">
        <v>81</v>
      </c>
      <c r="R9" s="37" t="s">
        <v>82</v>
      </c>
      <c r="S9" s="37" t="s">
        <v>83</v>
      </c>
      <c r="T9" s="37" t="s">
        <v>84</v>
      </c>
      <c r="U9" s="37" t="s">
        <v>85</v>
      </c>
      <c r="V9" s="37" t="s">
        <v>86</v>
      </c>
      <c r="W9" s="37" t="s">
        <v>87</v>
      </c>
      <c r="X9" s="37" t="s">
        <v>88</v>
      </c>
      <c r="Y9" s="37" t="s">
        <v>89</v>
      </c>
      <c r="Z9" s="37" t="s">
        <v>90</v>
      </c>
      <c r="AA9" s="37" t="s">
        <v>91</v>
      </c>
      <c r="AB9" s="37" t="s">
        <v>92</v>
      </c>
      <c r="AC9" s="37" t="s">
        <v>93</v>
      </c>
      <c r="AD9" s="37" t="s">
        <v>94</v>
      </c>
      <c r="AE9" s="37" t="s">
        <v>95</v>
      </c>
      <c r="AF9" s="37" t="s">
        <v>96</v>
      </c>
      <c r="AG9" s="37" t="s">
        <v>97</v>
      </c>
      <c r="AH9" s="37" t="s">
        <v>98</v>
      </c>
      <c r="AI9" s="37" t="s">
        <v>99</v>
      </c>
      <c r="AJ9" s="37" t="s">
        <v>100</v>
      </c>
      <c r="AK9" s="37" t="s">
        <v>101</v>
      </c>
      <c r="AL9" s="37" t="s">
        <v>102</v>
      </c>
      <c r="AM9" s="37" t="s">
        <v>103</v>
      </c>
      <c r="AN9" s="37" t="s">
        <v>104</v>
      </c>
      <c r="AO9" s="37" t="s">
        <v>105</v>
      </c>
      <c r="AP9" s="37" t="s">
        <v>106</v>
      </c>
      <c r="AQ9" s="37" t="s">
        <v>107</v>
      </c>
      <c r="AR9" s="37" t="s">
        <v>108</v>
      </c>
      <c r="AS9" s="37" t="s">
        <v>109</v>
      </c>
      <c r="AT9" s="37" t="s">
        <v>110</v>
      </c>
      <c r="AU9" s="37" t="s">
        <v>111</v>
      </c>
      <c r="AV9" s="37" t="s">
        <v>112</v>
      </c>
      <c r="AW9" s="37" t="s">
        <v>113</v>
      </c>
      <c r="AX9" s="37" t="s">
        <v>114</v>
      </c>
      <c r="AY9" s="37" t="s">
        <v>115</v>
      </c>
      <c r="AZ9" s="37" t="s">
        <v>116</v>
      </c>
      <c r="BA9" s="37" t="s">
        <v>117</v>
      </c>
      <c r="BB9" s="37" t="s">
        <v>118</v>
      </c>
      <c r="BC9" s="37" t="s">
        <v>119</v>
      </c>
      <c r="BD9" s="37" t="s">
        <v>120</v>
      </c>
      <c r="BE9" s="37" t="s">
        <v>121</v>
      </c>
      <c r="BF9" s="37" t="s">
        <v>122</v>
      </c>
    </row>
    <row r="10" spans="1:58" s="33" customFormat="1" ht="12.75" customHeight="1">
      <c r="A10" s="26"/>
      <c r="B10" s="26"/>
      <c r="C10" s="26"/>
      <c r="D10" s="26"/>
      <c r="E10" s="26"/>
      <c r="F10" s="27"/>
      <c r="G10" s="27"/>
      <c r="H10" s="38" t="s">
        <v>123</v>
      </c>
      <c r="I10" s="39"/>
      <c r="J10" s="39"/>
      <c r="K10" s="36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</row>
    <row r="11" spans="1:58" s="33" customFormat="1" ht="12.75" customHeight="1">
      <c r="A11" s="26"/>
      <c r="B11" s="26"/>
      <c r="C11" s="26"/>
      <c r="D11" s="26"/>
      <c r="E11" s="26"/>
      <c r="F11" s="27"/>
      <c r="G11" s="27"/>
      <c r="H11" s="38"/>
      <c r="I11" s="39"/>
      <c r="J11" s="39"/>
      <c r="K11" s="36"/>
      <c r="L11" s="37" t="s">
        <v>124</v>
      </c>
      <c r="M11" s="37" t="s">
        <v>125</v>
      </c>
      <c r="N11" s="37" t="s">
        <v>126</v>
      </c>
      <c r="O11" s="37" t="s">
        <v>127</v>
      </c>
      <c r="P11" s="37" t="s">
        <v>128</v>
      </c>
      <c r="Q11" s="37" t="s">
        <v>129</v>
      </c>
      <c r="R11" s="37" t="s">
        <v>130</v>
      </c>
      <c r="S11" s="37" t="s">
        <v>131</v>
      </c>
      <c r="T11" s="37" t="s">
        <v>132</v>
      </c>
      <c r="U11" s="37" t="s">
        <v>133</v>
      </c>
      <c r="V11" s="37" t="s">
        <v>134</v>
      </c>
      <c r="W11" s="37" t="s">
        <v>135</v>
      </c>
      <c r="X11" s="37" t="s">
        <v>136</v>
      </c>
      <c r="Y11" s="37" t="s">
        <v>137</v>
      </c>
      <c r="Z11" s="37" t="s">
        <v>138</v>
      </c>
      <c r="AA11" s="37" t="s">
        <v>139</v>
      </c>
      <c r="AB11" s="37" t="s">
        <v>140</v>
      </c>
      <c r="AC11" s="37" t="s">
        <v>141</v>
      </c>
      <c r="AD11" s="37" t="s">
        <v>142</v>
      </c>
      <c r="AE11" s="37" t="s">
        <v>143</v>
      </c>
      <c r="AF11" s="37" t="s">
        <v>144</v>
      </c>
      <c r="AG11" s="37" t="s">
        <v>145</v>
      </c>
      <c r="AH11" s="37" t="s">
        <v>146</v>
      </c>
      <c r="AI11" s="37" t="s">
        <v>147</v>
      </c>
      <c r="AJ11" s="37" t="s">
        <v>148</v>
      </c>
      <c r="AK11" s="37" t="s">
        <v>149</v>
      </c>
      <c r="AL11" s="37" t="s">
        <v>150</v>
      </c>
      <c r="AM11" s="37" t="s">
        <v>151</v>
      </c>
      <c r="AN11" s="37" t="s">
        <v>152</v>
      </c>
      <c r="AO11" s="37" t="s">
        <v>153</v>
      </c>
      <c r="AP11" s="37" t="s">
        <v>154</v>
      </c>
      <c r="AQ11" s="37" t="s">
        <v>155</v>
      </c>
      <c r="AR11" s="37" t="s">
        <v>156</v>
      </c>
      <c r="AS11" s="37" t="s">
        <v>157</v>
      </c>
      <c r="AT11" s="37" t="s">
        <v>158</v>
      </c>
      <c r="AU11" s="37" t="s">
        <v>159</v>
      </c>
      <c r="AV11" s="37" t="s">
        <v>160</v>
      </c>
      <c r="AW11" s="37" t="s">
        <v>161</v>
      </c>
      <c r="AX11" s="37" t="s">
        <v>162</v>
      </c>
      <c r="AY11" s="37" t="s">
        <v>163</v>
      </c>
      <c r="AZ11" s="37" t="s">
        <v>164</v>
      </c>
      <c r="BA11" s="37" t="s">
        <v>165</v>
      </c>
      <c r="BB11" s="37" t="s">
        <v>166</v>
      </c>
      <c r="BC11" s="37" t="s">
        <v>167</v>
      </c>
      <c r="BD11" s="37" t="s">
        <v>168</v>
      </c>
      <c r="BE11" s="37" t="s">
        <v>169</v>
      </c>
      <c r="BF11" s="37" t="s">
        <v>170</v>
      </c>
    </row>
    <row r="12" spans="1:58" s="33" customFormat="1" ht="12.75" customHeight="1">
      <c r="A12" s="26"/>
      <c r="B12" s="26"/>
      <c r="C12" s="26"/>
      <c r="D12" s="26"/>
      <c r="E12" s="26"/>
      <c r="F12" s="27"/>
      <c r="G12" s="27"/>
      <c r="H12" s="38"/>
      <c r="I12" s="39"/>
      <c r="J12" s="39"/>
      <c r="K12" s="3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2"/>
      <c r="BA12" s="41"/>
      <c r="BB12" s="41"/>
      <c r="BC12" s="41"/>
      <c r="BD12" s="41"/>
      <c r="BE12" s="41"/>
      <c r="BF12" s="42"/>
    </row>
    <row r="13" spans="1:58" s="33" customFormat="1" ht="12.75" customHeight="1">
      <c r="A13" s="26"/>
      <c r="B13" s="26"/>
      <c r="C13" s="26"/>
      <c r="D13" s="26"/>
      <c r="E13" s="26"/>
      <c r="F13" s="27"/>
      <c r="G13" s="27"/>
      <c r="H13" s="38"/>
      <c r="I13" s="39"/>
      <c r="J13" s="39"/>
      <c r="K13" s="36"/>
      <c r="L13" s="43"/>
      <c r="M13" s="44"/>
      <c r="N13" s="44"/>
      <c r="O13" s="43"/>
      <c r="P13" s="44"/>
      <c r="Q13" s="44"/>
      <c r="R13" s="43"/>
      <c r="S13" s="44"/>
      <c r="T13" s="44"/>
      <c r="U13" s="43"/>
      <c r="V13" s="44"/>
      <c r="W13" s="44"/>
      <c r="X13" s="43"/>
      <c r="Y13" s="44"/>
      <c r="Z13" s="44"/>
      <c r="AA13" s="43"/>
      <c r="AB13" s="44"/>
      <c r="AC13" s="44"/>
      <c r="AD13" s="43"/>
      <c r="AE13" s="44"/>
      <c r="AF13" s="44"/>
      <c r="AG13" s="43"/>
      <c r="AH13" s="44"/>
      <c r="AI13" s="44"/>
      <c r="AJ13" s="43"/>
      <c r="AK13" s="44"/>
      <c r="AL13" s="44"/>
      <c r="AM13" s="43"/>
      <c r="AN13" s="44"/>
      <c r="AO13" s="44"/>
      <c r="AP13" s="43"/>
      <c r="AQ13" s="44"/>
      <c r="AR13" s="44"/>
      <c r="AS13" s="43"/>
      <c r="AT13" s="44"/>
      <c r="AU13" s="44"/>
      <c r="AV13" s="43"/>
      <c r="AW13" s="44"/>
      <c r="AX13" s="44"/>
      <c r="AY13" s="43"/>
      <c r="AZ13" s="44"/>
      <c r="BA13" s="44"/>
      <c r="BB13" s="43"/>
      <c r="BC13" s="44"/>
      <c r="BD13" s="44"/>
      <c r="BE13" s="43"/>
      <c r="BF13" s="44"/>
    </row>
    <row r="14" spans="1:58" s="33" customFormat="1" ht="12.75" customHeight="1">
      <c r="A14" s="26"/>
      <c r="B14" s="26"/>
      <c r="C14" s="26"/>
      <c r="D14" s="26"/>
      <c r="E14" s="26"/>
      <c r="F14" s="27"/>
      <c r="G14" s="27"/>
      <c r="H14" s="38"/>
      <c r="I14" s="39"/>
      <c r="J14" s="39"/>
      <c r="K14" s="36"/>
      <c r="L14" s="45" t="s">
        <v>171</v>
      </c>
      <c r="M14" s="46" t="s">
        <v>171</v>
      </c>
      <c r="N14" s="46" t="s">
        <v>171</v>
      </c>
      <c r="O14" s="45" t="s">
        <v>171</v>
      </c>
      <c r="P14" s="46" t="s">
        <v>171</v>
      </c>
      <c r="Q14" s="46" t="s">
        <v>171</v>
      </c>
      <c r="R14" s="45" t="s">
        <v>171</v>
      </c>
      <c r="S14" s="46" t="s">
        <v>171</v>
      </c>
      <c r="T14" s="46" t="s">
        <v>171</v>
      </c>
      <c r="U14" s="45" t="s">
        <v>171</v>
      </c>
      <c r="V14" s="46" t="s">
        <v>171</v>
      </c>
      <c r="W14" s="46" t="s">
        <v>171</v>
      </c>
      <c r="X14" s="45" t="s">
        <v>171</v>
      </c>
      <c r="Y14" s="46" t="s">
        <v>171</v>
      </c>
      <c r="Z14" s="46" t="s">
        <v>171</v>
      </c>
      <c r="AA14" s="45" t="s">
        <v>171</v>
      </c>
      <c r="AB14" s="46" t="s">
        <v>171</v>
      </c>
      <c r="AC14" s="46" t="s">
        <v>171</v>
      </c>
      <c r="AD14" s="45" t="s">
        <v>171</v>
      </c>
      <c r="AE14" s="46" t="s">
        <v>171</v>
      </c>
      <c r="AF14" s="46" t="s">
        <v>171</v>
      </c>
      <c r="AG14" s="45" t="s">
        <v>171</v>
      </c>
      <c r="AH14" s="46" t="s">
        <v>171</v>
      </c>
      <c r="AI14" s="46" t="s">
        <v>171</v>
      </c>
      <c r="AJ14" s="45" t="s">
        <v>171</v>
      </c>
      <c r="AK14" s="46" t="s">
        <v>171</v>
      </c>
      <c r="AL14" s="46" t="s">
        <v>171</v>
      </c>
      <c r="AM14" s="45" t="s">
        <v>171</v>
      </c>
      <c r="AN14" s="46" t="s">
        <v>171</v>
      </c>
      <c r="AO14" s="46" t="s">
        <v>171</v>
      </c>
      <c r="AP14" s="45" t="s">
        <v>171</v>
      </c>
      <c r="AQ14" s="46" t="s">
        <v>171</v>
      </c>
      <c r="AR14" s="46" t="s">
        <v>171</v>
      </c>
      <c r="AS14" s="45" t="s">
        <v>171</v>
      </c>
      <c r="AT14" s="46" t="s">
        <v>171</v>
      </c>
      <c r="AU14" s="46" t="s">
        <v>171</v>
      </c>
      <c r="AV14" s="45" t="s">
        <v>171</v>
      </c>
      <c r="AW14" s="46" t="s">
        <v>171</v>
      </c>
      <c r="AX14" s="46" t="s">
        <v>171</v>
      </c>
      <c r="AY14" s="45" t="s">
        <v>171</v>
      </c>
      <c r="AZ14" s="46" t="s">
        <v>171</v>
      </c>
      <c r="BA14" s="46" t="s">
        <v>171</v>
      </c>
      <c r="BB14" s="45" t="s">
        <v>171</v>
      </c>
      <c r="BC14" s="46" t="s">
        <v>171</v>
      </c>
      <c r="BD14" s="46" t="s">
        <v>171</v>
      </c>
      <c r="BE14" s="45" t="s">
        <v>171</v>
      </c>
      <c r="BF14" s="46" t="s">
        <v>171</v>
      </c>
    </row>
    <row r="15" spans="1:58" s="33" customFormat="1" ht="12.75" customHeight="1">
      <c r="A15" s="26"/>
      <c r="B15" s="26"/>
      <c r="C15" s="26"/>
      <c r="D15" s="26"/>
      <c r="E15" s="26"/>
      <c r="F15" s="27"/>
      <c r="G15" s="27"/>
      <c r="H15" s="47" t="s">
        <v>172</v>
      </c>
      <c r="I15" s="47"/>
      <c r="J15" s="47"/>
      <c r="K15" s="48"/>
      <c r="L15" s="49"/>
      <c r="M15" s="50"/>
      <c r="N15" s="50"/>
      <c r="O15" s="49"/>
      <c r="P15" s="50"/>
      <c r="Q15" s="50"/>
      <c r="R15" s="49"/>
      <c r="S15" s="50"/>
      <c r="T15" s="50"/>
      <c r="U15" s="49"/>
      <c r="V15" s="50"/>
      <c r="W15" s="50"/>
      <c r="X15" s="49"/>
      <c r="Y15" s="50"/>
      <c r="Z15" s="50"/>
      <c r="AA15" s="49"/>
      <c r="AB15" s="50"/>
      <c r="AC15" s="50"/>
      <c r="AD15" s="49"/>
      <c r="AE15" s="50"/>
      <c r="AF15" s="50"/>
      <c r="AG15" s="49"/>
      <c r="AH15" s="50"/>
      <c r="AI15" s="50"/>
      <c r="AJ15" s="49"/>
      <c r="AK15" s="50"/>
      <c r="AL15" s="50"/>
      <c r="AM15" s="49"/>
      <c r="AN15" s="50"/>
      <c r="AO15" s="50"/>
      <c r="AP15" s="49"/>
      <c r="AQ15" s="50"/>
      <c r="AR15" s="50"/>
      <c r="AS15" s="49"/>
      <c r="AT15" s="50"/>
      <c r="AU15" s="50"/>
      <c r="AV15" s="49"/>
      <c r="AW15" s="50"/>
      <c r="AX15" s="50"/>
      <c r="AY15" s="49"/>
      <c r="AZ15" s="50"/>
      <c r="BA15" s="50"/>
      <c r="BB15" s="49"/>
      <c r="BC15" s="50"/>
      <c r="BD15" s="50"/>
      <c r="BE15" s="49"/>
      <c r="BF15" s="50"/>
    </row>
    <row r="16" spans="1:58" s="33" customFormat="1" ht="12.75" customHeight="1">
      <c r="A16" s="26"/>
      <c r="B16" s="26"/>
      <c r="C16" s="26"/>
      <c r="D16" s="26"/>
      <c r="E16" s="26"/>
      <c r="F16" s="27"/>
      <c r="G16" s="27"/>
      <c r="H16" s="47"/>
      <c r="I16" s="38"/>
      <c r="J16" s="38"/>
      <c r="K16" s="51"/>
      <c r="L16" s="52" t="s">
        <v>173</v>
      </c>
      <c r="M16" s="53" t="s">
        <v>173</v>
      </c>
      <c r="N16" s="53" t="s">
        <v>173</v>
      </c>
      <c r="O16" s="52" t="s">
        <v>173</v>
      </c>
      <c r="P16" s="53" t="s">
        <v>173</v>
      </c>
      <c r="Q16" s="53" t="s">
        <v>173</v>
      </c>
      <c r="R16" s="52" t="s">
        <v>173</v>
      </c>
      <c r="S16" s="53" t="s">
        <v>173</v>
      </c>
      <c r="T16" s="53" t="s">
        <v>173</v>
      </c>
      <c r="U16" s="52" t="s">
        <v>173</v>
      </c>
      <c r="V16" s="53" t="s">
        <v>173</v>
      </c>
      <c r="W16" s="53" t="s">
        <v>173</v>
      </c>
      <c r="X16" s="52" t="s">
        <v>173</v>
      </c>
      <c r="Y16" s="53" t="s">
        <v>173</v>
      </c>
      <c r="Z16" s="53" t="s">
        <v>173</v>
      </c>
      <c r="AA16" s="52" t="s">
        <v>173</v>
      </c>
      <c r="AB16" s="53" t="s">
        <v>173</v>
      </c>
      <c r="AC16" s="53" t="s">
        <v>173</v>
      </c>
      <c r="AD16" s="52" t="s">
        <v>173</v>
      </c>
      <c r="AE16" s="53" t="s">
        <v>173</v>
      </c>
      <c r="AF16" s="53" t="s">
        <v>173</v>
      </c>
      <c r="AG16" s="52" t="s">
        <v>173</v>
      </c>
      <c r="AH16" s="53" t="s">
        <v>173</v>
      </c>
      <c r="AI16" s="53" t="s">
        <v>173</v>
      </c>
      <c r="AJ16" s="52" t="s">
        <v>173</v>
      </c>
      <c r="AK16" s="53" t="s">
        <v>173</v>
      </c>
      <c r="AL16" s="53" t="s">
        <v>173</v>
      </c>
      <c r="AM16" s="52" t="s">
        <v>173</v>
      </c>
      <c r="AN16" s="53" t="s">
        <v>173</v>
      </c>
      <c r="AO16" s="53" t="s">
        <v>173</v>
      </c>
      <c r="AP16" s="52" t="s">
        <v>173</v>
      </c>
      <c r="AQ16" s="53" t="s">
        <v>173</v>
      </c>
      <c r="AR16" s="53" t="s">
        <v>173</v>
      </c>
      <c r="AS16" s="52" t="s">
        <v>173</v>
      </c>
      <c r="AT16" s="53" t="s">
        <v>173</v>
      </c>
      <c r="AU16" s="53" t="s">
        <v>173</v>
      </c>
      <c r="AV16" s="52" t="s">
        <v>173</v>
      </c>
      <c r="AW16" s="53" t="s">
        <v>173</v>
      </c>
      <c r="AX16" s="53" t="s">
        <v>173</v>
      </c>
      <c r="AY16" s="52" t="s">
        <v>173</v>
      </c>
      <c r="AZ16" s="53" t="s">
        <v>173</v>
      </c>
      <c r="BA16" s="53" t="s">
        <v>173</v>
      </c>
      <c r="BB16" s="52" t="s">
        <v>173</v>
      </c>
      <c r="BC16" s="53" t="s">
        <v>173</v>
      </c>
      <c r="BD16" s="53" t="s">
        <v>173</v>
      </c>
      <c r="BE16" s="52" t="s">
        <v>173</v>
      </c>
      <c r="BF16" s="53" t="s">
        <v>173</v>
      </c>
    </row>
    <row r="17" spans="1:58" s="33" customFormat="1" ht="7.5" customHeight="1">
      <c r="A17" s="26"/>
      <c r="B17" s="26"/>
      <c r="C17" s="26"/>
      <c r="D17" s="26"/>
      <c r="E17" s="26"/>
      <c r="F17" s="27"/>
      <c r="G17" s="27"/>
      <c r="H17" s="54"/>
      <c r="I17" s="54"/>
      <c r="J17" s="54"/>
      <c r="K17" s="55"/>
      <c r="L17" s="56"/>
      <c r="M17" s="57"/>
      <c r="N17" s="57"/>
      <c r="O17" s="56"/>
      <c r="P17" s="57"/>
      <c r="Q17" s="57"/>
      <c r="R17" s="56"/>
      <c r="S17" s="57"/>
      <c r="T17" s="57"/>
      <c r="U17" s="56"/>
      <c r="V17" s="57"/>
      <c r="W17" s="57"/>
      <c r="X17" s="56"/>
      <c r="Y17" s="57"/>
      <c r="Z17" s="57"/>
      <c r="AA17" s="56"/>
      <c r="AB17" s="57"/>
      <c r="AC17" s="57"/>
      <c r="AD17" s="56"/>
      <c r="AE17" s="57"/>
      <c r="AF17" s="57"/>
      <c r="AG17" s="56"/>
      <c r="AH17" s="57"/>
      <c r="AI17" s="57"/>
      <c r="AJ17" s="56"/>
      <c r="AK17" s="57"/>
      <c r="AL17" s="57"/>
      <c r="AM17" s="56"/>
      <c r="AN17" s="57"/>
      <c r="AO17" s="57"/>
      <c r="AP17" s="56"/>
      <c r="AQ17" s="57"/>
      <c r="AR17" s="57"/>
      <c r="AS17" s="56"/>
      <c r="AT17" s="57"/>
      <c r="AU17" s="57"/>
      <c r="AV17" s="56"/>
      <c r="AW17" s="57"/>
      <c r="AX17" s="57"/>
      <c r="AY17" s="56"/>
      <c r="AZ17" s="57"/>
      <c r="BA17" s="57"/>
      <c r="BB17" s="56"/>
      <c r="BC17" s="57"/>
      <c r="BD17" s="57"/>
      <c r="BE17" s="56"/>
      <c r="BF17" s="57"/>
    </row>
    <row r="18" spans="1:58" ht="12" customHeight="1">
      <c r="A18" s="58" t="s">
        <v>174</v>
      </c>
      <c r="B18" s="58" t="s">
        <v>175</v>
      </c>
      <c r="C18" s="58" t="s">
        <v>176</v>
      </c>
      <c r="D18" s="58" t="s">
        <v>177</v>
      </c>
      <c r="E18" s="58" t="s">
        <v>178</v>
      </c>
      <c r="F18" s="59">
        <v>125</v>
      </c>
      <c r="G18" s="8"/>
      <c r="H18" s="60"/>
      <c r="I18" s="451" t="s">
        <v>179</v>
      </c>
      <c r="J18" s="451"/>
      <c r="K18" s="62" t="s">
        <v>180</v>
      </c>
      <c r="L18" s="63">
        <v>657312</v>
      </c>
      <c r="M18" s="63">
        <v>171842</v>
      </c>
      <c r="N18" s="63">
        <v>168804</v>
      </c>
      <c r="O18" s="63">
        <v>308201</v>
      </c>
      <c r="P18" s="63">
        <v>124061</v>
      </c>
      <c r="Q18" s="63">
        <v>149759</v>
      </c>
      <c r="R18" s="63">
        <v>276069</v>
      </c>
      <c r="S18" s="63">
        <v>399638</v>
      </c>
      <c r="T18" s="63">
        <v>269823</v>
      </c>
      <c r="U18" s="63">
        <v>275225</v>
      </c>
      <c r="V18" s="63">
        <v>953668</v>
      </c>
      <c r="W18" s="63">
        <v>799646</v>
      </c>
      <c r="X18" s="63">
        <v>1477371</v>
      </c>
      <c r="Y18" s="63">
        <v>1187743</v>
      </c>
      <c r="Z18" s="63">
        <v>301708</v>
      </c>
      <c r="AA18" s="63">
        <v>141936</v>
      </c>
      <c r="AB18" s="63">
        <v>159283</v>
      </c>
      <c r="AC18" s="63">
        <v>112192</v>
      </c>
      <c r="AD18" s="63">
        <v>115337</v>
      </c>
      <c r="AE18" s="63">
        <v>295742</v>
      </c>
      <c r="AF18" s="63">
        <v>289748</v>
      </c>
      <c r="AG18" s="63">
        <v>511575</v>
      </c>
      <c r="AH18" s="63">
        <v>1065254</v>
      </c>
      <c r="AI18" s="63">
        <v>253174</v>
      </c>
      <c r="AJ18" s="63">
        <v>210753</v>
      </c>
      <c r="AK18" s="63">
        <v>334444</v>
      </c>
      <c r="AL18" s="63">
        <v>1165200</v>
      </c>
      <c r="AM18" s="63">
        <v>759277</v>
      </c>
      <c r="AN18" s="63">
        <v>184011</v>
      </c>
      <c r="AO18" s="63">
        <v>128005</v>
      </c>
      <c r="AP18" s="63">
        <v>77951</v>
      </c>
      <c r="AQ18" s="63">
        <v>92218</v>
      </c>
      <c r="AR18" s="63">
        <v>264853</v>
      </c>
      <c r="AS18" s="63">
        <v>386810</v>
      </c>
      <c r="AT18" s="63">
        <v>184049</v>
      </c>
      <c r="AU18" s="63">
        <v>96596</v>
      </c>
      <c r="AV18" s="63">
        <v>131670</v>
      </c>
      <c r="AW18" s="63">
        <v>185179</v>
      </c>
      <c r="AX18" s="63">
        <v>92798</v>
      </c>
      <c r="AY18" s="63">
        <v>684124</v>
      </c>
      <c r="AZ18" s="63">
        <v>123447</v>
      </c>
      <c r="BA18" s="63">
        <v>193428</v>
      </c>
      <c r="BB18" s="63">
        <v>249606</v>
      </c>
      <c r="BC18" s="63">
        <v>155634</v>
      </c>
      <c r="BD18" s="63">
        <v>158588</v>
      </c>
      <c r="BE18" s="63">
        <v>233379</v>
      </c>
      <c r="BF18" s="63">
        <v>246313</v>
      </c>
    </row>
    <row r="19" spans="1:58" ht="12" customHeight="1">
      <c r="A19" s="58"/>
      <c r="B19" s="58"/>
      <c r="C19" s="58"/>
      <c r="D19" s="58"/>
      <c r="E19" s="58"/>
      <c r="F19" s="59"/>
      <c r="G19" s="8"/>
      <c r="H19" s="60"/>
      <c r="I19" s="61"/>
      <c r="J19" s="61"/>
      <c r="K19" s="62"/>
      <c r="L19" s="63">
        <f>L18/1000</f>
        <v>657.31200000000001</v>
      </c>
      <c r="M19" s="63">
        <f t="shared" ref="M19:BF19" si="0">M18/1000</f>
        <v>171.84200000000001</v>
      </c>
      <c r="N19" s="63">
        <f t="shared" si="0"/>
        <v>168.804</v>
      </c>
      <c r="O19" s="63">
        <f t="shared" si="0"/>
        <v>308.20100000000002</v>
      </c>
      <c r="P19" s="63">
        <f t="shared" si="0"/>
        <v>124.06100000000001</v>
      </c>
      <c r="Q19" s="63">
        <f t="shared" si="0"/>
        <v>149.75899999999999</v>
      </c>
      <c r="R19" s="63">
        <f t="shared" si="0"/>
        <v>276.06900000000002</v>
      </c>
      <c r="S19" s="63">
        <f t="shared" si="0"/>
        <v>399.63799999999998</v>
      </c>
      <c r="T19" s="63">
        <f t="shared" si="0"/>
        <v>269.82299999999998</v>
      </c>
      <c r="U19" s="63">
        <f t="shared" si="0"/>
        <v>275.22500000000002</v>
      </c>
      <c r="V19" s="63">
        <f t="shared" si="0"/>
        <v>953.66800000000001</v>
      </c>
      <c r="W19" s="63">
        <f t="shared" si="0"/>
        <v>799.64599999999996</v>
      </c>
      <c r="X19" s="63">
        <f t="shared" si="0"/>
        <v>1477.3710000000001</v>
      </c>
      <c r="Y19" s="63">
        <f t="shared" si="0"/>
        <v>1187.7429999999999</v>
      </c>
      <c r="Z19" s="63">
        <f t="shared" si="0"/>
        <v>301.70800000000003</v>
      </c>
      <c r="AA19" s="63">
        <f t="shared" si="0"/>
        <v>141.93600000000001</v>
      </c>
      <c r="AB19" s="63">
        <f t="shared" si="0"/>
        <v>159.28299999999999</v>
      </c>
      <c r="AC19" s="63">
        <f t="shared" si="0"/>
        <v>112.19199999999999</v>
      </c>
      <c r="AD19" s="63">
        <f t="shared" si="0"/>
        <v>115.337</v>
      </c>
      <c r="AE19" s="63">
        <f t="shared" si="0"/>
        <v>295.74200000000002</v>
      </c>
      <c r="AF19" s="63">
        <f t="shared" si="0"/>
        <v>289.74799999999999</v>
      </c>
      <c r="AG19" s="63">
        <f t="shared" si="0"/>
        <v>511.57499999999999</v>
      </c>
      <c r="AH19" s="63">
        <f t="shared" si="0"/>
        <v>1065.2539999999999</v>
      </c>
      <c r="AI19" s="63">
        <f t="shared" si="0"/>
        <v>253.17400000000001</v>
      </c>
      <c r="AJ19" s="63">
        <f t="shared" si="0"/>
        <v>210.75299999999999</v>
      </c>
      <c r="AK19" s="63">
        <f t="shared" si="0"/>
        <v>334.44400000000002</v>
      </c>
      <c r="AL19" s="63">
        <f t="shared" si="0"/>
        <v>1165.2</v>
      </c>
      <c r="AM19" s="63">
        <f t="shared" si="0"/>
        <v>759.27700000000004</v>
      </c>
      <c r="AN19" s="63">
        <f t="shared" si="0"/>
        <v>184.011</v>
      </c>
      <c r="AO19" s="63">
        <f t="shared" si="0"/>
        <v>128.005</v>
      </c>
      <c r="AP19" s="63">
        <f t="shared" si="0"/>
        <v>77.950999999999993</v>
      </c>
      <c r="AQ19" s="63">
        <f t="shared" si="0"/>
        <v>92.218000000000004</v>
      </c>
      <c r="AR19" s="63">
        <f t="shared" si="0"/>
        <v>264.85300000000001</v>
      </c>
      <c r="AS19" s="63">
        <f t="shared" si="0"/>
        <v>386.81</v>
      </c>
      <c r="AT19" s="63">
        <f t="shared" si="0"/>
        <v>184.04900000000001</v>
      </c>
      <c r="AU19" s="63">
        <f t="shared" si="0"/>
        <v>96.596000000000004</v>
      </c>
      <c r="AV19" s="63">
        <f t="shared" si="0"/>
        <v>131.66999999999999</v>
      </c>
      <c r="AW19" s="63">
        <f t="shared" si="0"/>
        <v>185.179</v>
      </c>
      <c r="AX19" s="63">
        <f t="shared" si="0"/>
        <v>92.798000000000002</v>
      </c>
      <c r="AY19" s="63">
        <f t="shared" si="0"/>
        <v>684.12400000000002</v>
      </c>
      <c r="AZ19" s="63">
        <f t="shared" si="0"/>
        <v>123.447</v>
      </c>
      <c r="BA19" s="63">
        <f t="shared" si="0"/>
        <v>193.428</v>
      </c>
      <c r="BB19" s="63">
        <f t="shared" si="0"/>
        <v>249.60599999999999</v>
      </c>
      <c r="BC19" s="63">
        <f t="shared" si="0"/>
        <v>155.63399999999999</v>
      </c>
      <c r="BD19" s="63">
        <f t="shared" si="0"/>
        <v>158.58799999999999</v>
      </c>
      <c r="BE19" s="63">
        <f t="shared" si="0"/>
        <v>233.37899999999999</v>
      </c>
      <c r="BF19" s="63">
        <f t="shared" si="0"/>
        <v>246.31299999999999</v>
      </c>
    </row>
    <row r="20" spans="1:58" ht="12" customHeight="1">
      <c r="A20" s="58" t="s">
        <v>174</v>
      </c>
      <c r="B20" s="58" t="s">
        <v>175</v>
      </c>
      <c r="C20" s="58" t="s">
        <v>176</v>
      </c>
      <c r="D20" s="58" t="s">
        <v>177</v>
      </c>
      <c r="E20" s="58" t="s">
        <v>178</v>
      </c>
      <c r="F20" s="59">
        <v>130</v>
      </c>
      <c r="G20" s="8"/>
      <c r="H20" s="60"/>
      <c r="I20" s="452" t="s">
        <v>190</v>
      </c>
      <c r="J20" s="452"/>
      <c r="K20" s="62" t="s">
        <v>191</v>
      </c>
      <c r="L20" s="66">
        <v>11.956455504099999</v>
      </c>
      <c r="M20" s="66">
        <v>12.5597410314</v>
      </c>
      <c r="N20" s="66">
        <v>12.739136144</v>
      </c>
      <c r="O20" s="66">
        <v>13.2239181373</v>
      </c>
      <c r="P20" s="66">
        <v>11.4432215647</v>
      </c>
      <c r="Q20" s="66">
        <v>12.8483318763</v>
      </c>
      <c r="R20" s="66">
        <v>13.6872588595</v>
      </c>
      <c r="S20" s="66">
        <v>13.5177059698</v>
      </c>
      <c r="T20" s="66">
        <v>13.5637636085</v>
      </c>
      <c r="U20" s="66">
        <v>13.7794871512</v>
      </c>
      <c r="V20" s="66">
        <v>13.305195743800001</v>
      </c>
      <c r="W20" s="66">
        <v>13.0472948653</v>
      </c>
      <c r="X20" s="66">
        <v>11.390830425100001</v>
      </c>
      <c r="Y20" s="66">
        <v>13.202861283400001</v>
      </c>
      <c r="Z20" s="66">
        <v>12.7617582081</v>
      </c>
      <c r="AA20" s="66">
        <v>13.032292422299999</v>
      </c>
      <c r="AB20" s="66">
        <v>13.724537318299999</v>
      </c>
      <c r="AC20" s="66">
        <v>14.0495878118</v>
      </c>
      <c r="AD20" s="66">
        <v>13.436699430199999</v>
      </c>
      <c r="AE20" s="66">
        <v>13.776420465399999</v>
      </c>
      <c r="AF20" s="66">
        <v>13.984334541400001</v>
      </c>
      <c r="AG20" s="66">
        <v>13.666428285</v>
      </c>
      <c r="AH20" s="66">
        <v>14.495649892599999</v>
      </c>
      <c r="AI20" s="66">
        <v>13.740399185499999</v>
      </c>
      <c r="AJ20" s="66">
        <v>15.084774150299999</v>
      </c>
      <c r="AK20" s="66">
        <v>12.893157772</v>
      </c>
      <c r="AL20" s="66">
        <v>13.277092184600001</v>
      </c>
      <c r="AM20" s="66">
        <v>13.6653885161</v>
      </c>
      <c r="AN20" s="66">
        <v>13.211407943199999</v>
      </c>
      <c r="AO20" s="66">
        <v>12.885233294100001</v>
      </c>
      <c r="AP20" s="66">
        <v>13.3554808168</v>
      </c>
      <c r="AQ20" s="66">
        <v>12.9198662312</v>
      </c>
      <c r="AR20" s="66">
        <v>13.736732805600001</v>
      </c>
      <c r="AS20" s="66">
        <v>13.675417340499999</v>
      </c>
      <c r="AT20" s="66">
        <v>12.7219967664</v>
      </c>
      <c r="AU20" s="66">
        <v>12.410993049</v>
      </c>
      <c r="AV20" s="66">
        <v>13.430698331</v>
      </c>
      <c r="AW20" s="66">
        <v>13.015467812200001</v>
      </c>
      <c r="AX20" s="66">
        <v>12.234635840299999</v>
      </c>
      <c r="AY20" s="66">
        <v>13.586202733</v>
      </c>
      <c r="AZ20" s="66">
        <v>14.5789366152</v>
      </c>
      <c r="BA20" s="66">
        <v>13.620404835</v>
      </c>
      <c r="BB20" s="66">
        <v>13.818542976</v>
      </c>
      <c r="BC20" s="66">
        <v>13.081752336499999</v>
      </c>
      <c r="BD20" s="66">
        <v>14.025114460099999</v>
      </c>
      <c r="BE20" s="66">
        <v>13.7344700895</v>
      </c>
      <c r="BF20" s="66">
        <v>17.787157526800002</v>
      </c>
    </row>
    <row r="21" spans="1:58" ht="12" customHeight="1">
      <c r="A21" s="58" t="s">
        <v>174</v>
      </c>
      <c r="B21" s="58" t="s">
        <v>175</v>
      </c>
      <c r="C21" s="58" t="s">
        <v>176</v>
      </c>
      <c r="D21" s="58" t="s">
        <v>177</v>
      </c>
      <c r="E21" s="58" t="s">
        <v>178</v>
      </c>
      <c r="F21" s="59">
        <v>126</v>
      </c>
      <c r="G21" s="8"/>
      <c r="H21" s="60" t="s">
        <v>181</v>
      </c>
      <c r="I21" s="451" t="s">
        <v>182</v>
      </c>
      <c r="J21" s="451"/>
      <c r="K21" s="62" t="s">
        <v>183</v>
      </c>
      <c r="L21" s="63">
        <v>3482169</v>
      </c>
      <c r="M21" s="63">
        <v>843587</v>
      </c>
      <c r="N21" s="63">
        <v>795780</v>
      </c>
      <c r="O21" s="63">
        <v>1501638</v>
      </c>
      <c r="P21" s="63">
        <v>639633</v>
      </c>
      <c r="Q21" s="63">
        <v>694110</v>
      </c>
      <c r="R21" s="63">
        <v>1236458</v>
      </c>
      <c r="S21" s="63">
        <v>1891701</v>
      </c>
      <c r="T21" s="63">
        <v>1281274</v>
      </c>
      <c r="U21" s="63">
        <v>1251608</v>
      </c>
      <c r="V21" s="63">
        <v>4749108</v>
      </c>
      <c r="W21" s="63">
        <v>4009060</v>
      </c>
      <c r="X21" s="63">
        <v>8850225</v>
      </c>
      <c r="Y21" s="63">
        <v>5988857</v>
      </c>
      <c r="Z21" s="63">
        <v>1441262</v>
      </c>
      <c r="AA21" s="63">
        <v>662072</v>
      </c>
      <c r="AB21" s="63">
        <v>725951</v>
      </c>
      <c r="AC21" s="63">
        <v>485409</v>
      </c>
      <c r="AD21" s="63">
        <v>531455</v>
      </c>
      <c r="AE21" s="63">
        <v>1281683</v>
      </c>
      <c r="AF21" s="63">
        <v>1282800</v>
      </c>
      <c r="AG21" s="63">
        <v>2339915</v>
      </c>
      <c r="AH21" s="63">
        <v>4791445</v>
      </c>
      <c r="AI21" s="63">
        <v>1142275</v>
      </c>
      <c r="AJ21" s="63">
        <v>897583</v>
      </c>
      <c r="AK21" s="63">
        <v>1653812</v>
      </c>
      <c r="AL21" s="63">
        <v>5648070</v>
      </c>
      <c r="AM21" s="63">
        <v>3515442</v>
      </c>
      <c r="AN21" s="63">
        <v>875062</v>
      </c>
      <c r="AO21" s="63">
        <v>594573</v>
      </c>
      <c r="AP21" s="63">
        <v>352098</v>
      </c>
      <c r="AQ21" s="63">
        <v>414153</v>
      </c>
      <c r="AR21" s="63">
        <v>1178493</v>
      </c>
      <c r="AS21" s="63">
        <v>1765036</v>
      </c>
      <c r="AT21" s="63">
        <v>857956</v>
      </c>
      <c r="AU21" s="63">
        <v>471788</v>
      </c>
      <c r="AV21" s="63">
        <v>595451</v>
      </c>
      <c r="AW21" s="63">
        <v>858991</v>
      </c>
      <c r="AX21" s="63">
        <v>447540</v>
      </c>
      <c r="AY21" s="63">
        <v>3227932</v>
      </c>
      <c r="AZ21" s="63">
        <v>515206</v>
      </c>
      <c r="BA21" s="63">
        <v>857416</v>
      </c>
      <c r="BB21" s="63">
        <v>1093440</v>
      </c>
      <c r="BC21" s="63">
        <v>717319</v>
      </c>
      <c r="BD21" s="63">
        <v>680854</v>
      </c>
      <c r="BE21" s="63">
        <v>1016150</v>
      </c>
      <c r="BF21" s="63">
        <v>897960</v>
      </c>
    </row>
    <row r="22" spans="1:58" ht="12" customHeight="1">
      <c r="A22" s="58"/>
      <c r="B22" s="58"/>
      <c r="C22" s="58"/>
      <c r="D22" s="58"/>
      <c r="E22" s="58"/>
      <c r="F22" s="59"/>
      <c r="G22" s="8"/>
      <c r="H22" s="60"/>
      <c r="I22" s="61"/>
      <c r="J22" s="61"/>
      <c r="K22" s="62"/>
      <c r="L22" s="63">
        <f t="shared" ref="L22:BF22" si="1">L21/1000</f>
        <v>3482.1689999999999</v>
      </c>
      <c r="M22" s="63">
        <f t="shared" si="1"/>
        <v>843.58699999999999</v>
      </c>
      <c r="N22" s="63">
        <f t="shared" si="1"/>
        <v>795.78</v>
      </c>
      <c r="O22" s="63">
        <f t="shared" si="1"/>
        <v>1501.6379999999999</v>
      </c>
      <c r="P22" s="63">
        <f t="shared" si="1"/>
        <v>639.63300000000004</v>
      </c>
      <c r="Q22" s="63">
        <f t="shared" si="1"/>
        <v>694.11</v>
      </c>
      <c r="R22" s="63">
        <f t="shared" si="1"/>
        <v>1236.4580000000001</v>
      </c>
      <c r="S22" s="63">
        <f t="shared" si="1"/>
        <v>1891.701</v>
      </c>
      <c r="T22" s="63">
        <f t="shared" si="1"/>
        <v>1281.2739999999999</v>
      </c>
      <c r="U22" s="63">
        <f t="shared" si="1"/>
        <v>1251.6079999999999</v>
      </c>
      <c r="V22" s="63">
        <f t="shared" si="1"/>
        <v>4749.1080000000002</v>
      </c>
      <c r="W22" s="63">
        <f t="shared" si="1"/>
        <v>4009.06</v>
      </c>
      <c r="X22" s="63">
        <f t="shared" si="1"/>
        <v>8850.2250000000004</v>
      </c>
      <c r="Y22" s="63">
        <f t="shared" si="1"/>
        <v>5988.857</v>
      </c>
      <c r="Z22" s="63">
        <f t="shared" si="1"/>
        <v>1441.2619999999999</v>
      </c>
      <c r="AA22" s="63">
        <f t="shared" si="1"/>
        <v>662.072</v>
      </c>
      <c r="AB22" s="63">
        <f t="shared" si="1"/>
        <v>725.95100000000002</v>
      </c>
      <c r="AC22" s="63">
        <f t="shared" si="1"/>
        <v>485.40899999999999</v>
      </c>
      <c r="AD22" s="63">
        <f t="shared" si="1"/>
        <v>531.45500000000004</v>
      </c>
      <c r="AE22" s="63">
        <f t="shared" si="1"/>
        <v>1281.683</v>
      </c>
      <c r="AF22" s="63">
        <f t="shared" si="1"/>
        <v>1282.8</v>
      </c>
      <c r="AG22" s="63">
        <f t="shared" si="1"/>
        <v>2339.915</v>
      </c>
      <c r="AH22" s="63">
        <f t="shared" si="1"/>
        <v>4791.4449999999997</v>
      </c>
      <c r="AI22" s="63">
        <f t="shared" si="1"/>
        <v>1142.2750000000001</v>
      </c>
      <c r="AJ22" s="63">
        <f t="shared" si="1"/>
        <v>897.58299999999997</v>
      </c>
      <c r="AK22" s="63">
        <f t="shared" si="1"/>
        <v>1653.8119999999999</v>
      </c>
      <c r="AL22" s="63">
        <f t="shared" si="1"/>
        <v>5648.07</v>
      </c>
      <c r="AM22" s="63">
        <f t="shared" si="1"/>
        <v>3515.442</v>
      </c>
      <c r="AN22" s="63">
        <f t="shared" si="1"/>
        <v>875.06200000000001</v>
      </c>
      <c r="AO22" s="63">
        <f t="shared" si="1"/>
        <v>594.57299999999998</v>
      </c>
      <c r="AP22" s="63">
        <f t="shared" si="1"/>
        <v>352.09800000000001</v>
      </c>
      <c r="AQ22" s="63">
        <f t="shared" si="1"/>
        <v>414.15300000000002</v>
      </c>
      <c r="AR22" s="63">
        <f t="shared" si="1"/>
        <v>1178.4929999999999</v>
      </c>
      <c r="AS22" s="63">
        <f t="shared" si="1"/>
        <v>1765.0360000000001</v>
      </c>
      <c r="AT22" s="63">
        <f t="shared" si="1"/>
        <v>857.95600000000002</v>
      </c>
      <c r="AU22" s="63">
        <f t="shared" si="1"/>
        <v>471.78800000000001</v>
      </c>
      <c r="AV22" s="63">
        <f t="shared" si="1"/>
        <v>595.45100000000002</v>
      </c>
      <c r="AW22" s="63">
        <f t="shared" si="1"/>
        <v>858.99099999999999</v>
      </c>
      <c r="AX22" s="63">
        <f t="shared" si="1"/>
        <v>447.54</v>
      </c>
      <c r="AY22" s="63">
        <f t="shared" si="1"/>
        <v>3227.9319999999998</v>
      </c>
      <c r="AZ22" s="63">
        <f t="shared" si="1"/>
        <v>515.20600000000002</v>
      </c>
      <c r="BA22" s="63">
        <f t="shared" si="1"/>
        <v>857.41600000000005</v>
      </c>
      <c r="BB22" s="63">
        <f t="shared" si="1"/>
        <v>1093.44</v>
      </c>
      <c r="BC22" s="63">
        <f t="shared" si="1"/>
        <v>717.31899999999996</v>
      </c>
      <c r="BD22" s="63">
        <f t="shared" si="1"/>
        <v>680.85400000000004</v>
      </c>
      <c r="BE22" s="63">
        <f t="shared" si="1"/>
        <v>1016.15</v>
      </c>
      <c r="BF22" s="63">
        <f t="shared" si="1"/>
        <v>897.96</v>
      </c>
    </row>
    <row r="23" spans="1:58" ht="12" customHeight="1">
      <c r="A23" s="58" t="s">
        <v>174</v>
      </c>
      <c r="B23" s="58" t="s">
        <v>175</v>
      </c>
      <c r="C23" s="58" t="s">
        <v>176</v>
      </c>
      <c r="D23" s="58" t="s">
        <v>177</v>
      </c>
      <c r="E23" s="58" t="s">
        <v>178</v>
      </c>
      <c r="F23" s="59">
        <v>131</v>
      </c>
      <c r="G23" s="8"/>
      <c r="H23" s="60"/>
      <c r="I23" s="452" t="s">
        <v>192</v>
      </c>
      <c r="J23" s="452"/>
      <c r="K23" s="62" t="s">
        <v>193</v>
      </c>
      <c r="L23" s="66">
        <v>63.340390417599998</v>
      </c>
      <c r="M23" s="66">
        <v>61.656837429100001</v>
      </c>
      <c r="N23" s="66">
        <v>60.055151303800002</v>
      </c>
      <c r="O23" s="66">
        <v>64.430478758299998</v>
      </c>
      <c r="P23" s="66">
        <v>58.998896825499997</v>
      </c>
      <c r="Q23" s="66">
        <v>59.5500480014</v>
      </c>
      <c r="R23" s="66">
        <v>61.302503051599999</v>
      </c>
      <c r="S23" s="66">
        <v>63.986552582100003</v>
      </c>
      <c r="T23" s="66">
        <v>64.408510963400005</v>
      </c>
      <c r="U23" s="66">
        <v>62.663334923800001</v>
      </c>
      <c r="V23" s="66">
        <v>66.257661521900005</v>
      </c>
      <c r="W23" s="66">
        <v>65.413180272999995</v>
      </c>
      <c r="X23" s="66">
        <v>68.237031997399995</v>
      </c>
      <c r="Y23" s="66">
        <v>66.571681093500004</v>
      </c>
      <c r="Z23" s="66">
        <v>60.963040948600003</v>
      </c>
      <c r="AA23" s="66">
        <v>60.790186482499998</v>
      </c>
      <c r="AB23" s="66">
        <v>62.5511924734</v>
      </c>
      <c r="AC23" s="66">
        <v>60.786833019600003</v>
      </c>
      <c r="AD23" s="66">
        <v>61.914226099799997</v>
      </c>
      <c r="AE23" s="66">
        <v>59.704079607700002</v>
      </c>
      <c r="AF23" s="66">
        <v>61.912780587500002</v>
      </c>
      <c r="AG23" s="66">
        <v>62.509466921799998</v>
      </c>
      <c r="AH23" s="66">
        <v>65.200514806300006</v>
      </c>
      <c r="AI23" s="66">
        <v>61.994179811499997</v>
      </c>
      <c r="AJ23" s="66">
        <v>64.245049115200004</v>
      </c>
      <c r="AK23" s="66">
        <v>63.756141659599997</v>
      </c>
      <c r="AL23" s="66">
        <v>64.358003823600001</v>
      </c>
      <c r="AM23" s="66">
        <v>63.270559671599997</v>
      </c>
      <c r="AN23" s="66">
        <v>62.826684587199999</v>
      </c>
      <c r="AO23" s="66">
        <v>59.850879382800002</v>
      </c>
      <c r="AP23" s="66">
        <v>60.3255645809</v>
      </c>
      <c r="AQ23" s="66">
        <v>58.023394123300001</v>
      </c>
      <c r="AR23" s="66">
        <v>61.123126618199997</v>
      </c>
      <c r="AS23" s="66">
        <v>62.401706059699997</v>
      </c>
      <c r="AT23" s="66">
        <v>59.304388819000003</v>
      </c>
      <c r="AU23" s="66">
        <v>60.616977810900003</v>
      </c>
      <c r="AV23" s="66">
        <v>60.737622479800002</v>
      </c>
      <c r="AW23" s="66">
        <v>60.374932964800003</v>
      </c>
      <c r="AX23" s="66">
        <v>59.004385051299998</v>
      </c>
      <c r="AY23" s="66">
        <v>64.104370786900006</v>
      </c>
      <c r="AZ23" s="66">
        <v>60.845185527200002</v>
      </c>
      <c r="BA23" s="66">
        <v>60.375711024499999</v>
      </c>
      <c r="BB23" s="66">
        <v>60.534392729499999</v>
      </c>
      <c r="BC23" s="66">
        <v>60.293955718399999</v>
      </c>
      <c r="BD23" s="66">
        <v>60.212975008500003</v>
      </c>
      <c r="BE23" s="66">
        <v>59.8009323096</v>
      </c>
      <c r="BF23" s="66">
        <v>64.844957321699994</v>
      </c>
    </row>
    <row r="24" spans="1:58" ht="12" customHeight="1">
      <c r="A24" s="58" t="s">
        <v>174</v>
      </c>
      <c r="B24" s="58" t="s">
        <v>175</v>
      </c>
      <c r="C24" s="58" t="s">
        <v>176</v>
      </c>
      <c r="D24" s="58" t="s">
        <v>177</v>
      </c>
      <c r="E24" s="58" t="s">
        <v>178</v>
      </c>
      <c r="F24" s="59">
        <v>127</v>
      </c>
      <c r="G24" s="8"/>
      <c r="H24" s="60"/>
      <c r="I24" s="451" t="s">
        <v>184</v>
      </c>
      <c r="J24" s="451"/>
      <c r="K24" s="62" t="s">
        <v>185</v>
      </c>
      <c r="L24" s="63">
        <v>1358068</v>
      </c>
      <c r="M24" s="63">
        <v>352768</v>
      </c>
      <c r="N24" s="63">
        <v>360498</v>
      </c>
      <c r="O24" s="63">
        <v>520794</v>
      </c>
      <c r="P24" s="63">
        <v>320450</v>
      </c>
      <c r="Q24" s="63">
        <v>321722</v>
      </c>
      <c r="R24" s="63">
        <v>504451</v>
      </c>
      <c r="S24" s="63">
        <v>665065</v>
      </c>
      <c r="T24" s="63">
        <v>438196</v>
      </c>
      <c r="U24" s="63">
        <v>470520</v>
      </c>
      <c r="V24" s="63">
        <v>1464860</v>
      </c>
      <c r="W24" s="63">
        <v>1320120</v>
      </c>
      <c r="X24" s="63">
        <v>2642231</v>
      </c>
      <c r="Y24" s="63">
        <v>1819503</v>
      </c>
      <c r="Z24" s="63">
        <v>621187</v>
      </c>
      <c r="AA24" s="63">
        <v>285102</v>
      </c>
      <c r="AB24" s="63">
        <v>275337</v>
      </c>
      <c r="AC24" s="63">
        <v>200942</v>
      </c>
      <c r="AD24" s="63">
        <v>211581</v>
      </c>
      <c r="AE24" s="63">
        <v>569301</v>
      </c>
      <c r="AF24" s="63">
        <v>499399</v>
      </c>
      <c r="AG24" s="63">
        <v>891807</v>
      </c>
      <c r="AH24" s="63">
        <v>1492085</v>
      </c>
      <c r="AI24" s="63">
        <v>447103</v>
      </c>
      <c r="AJ24" s="63">
        <v>288788</v>
      </c>
      <c r="AK24" s="63">
        <v>605709</v>
      </c>
      <c r="AL24" s="63">
        <v>1962748</v>
      </c>
      <c r="AM24" s="63">
        <v>1281486</v>
      </c>
      <c r="AN24" s="63">
        <v>333746</v>
      </c>
      <c r="AO24" s="63">
        <v>270846</v>
      </c>
      <c r="AP24" s="63">
        <v>153614</v>
      </c>
      <c r="AQ24" s="63">
        <v>207398</v>
      </c>
      <c r="AR24" s="63">
        <v>484718</v>
      </c>
      <c r="AS24" s="63">
        <v>676660</v>
      </c>
      <c r="AT24" s="63">
        <v>404694</v>
      </c>
      <c r="AU24" s="63">
        <v>209926</v>
      </c>
      <c r="AV24" s="63">
        <v>253245</v>
      </c>
      <c r="AW24" s="63">
        <v>378591</v>
      </c>
      <c r="AX24" s="63">
        <v>218148</v>
      </c>
      <c r="AY24" s="63">
        <v>1123376</v>
      </c>
      <c r="AZ24" s="63">
        <v>208096</v>
      </c>
      <c r="BA24" s="63">
        <v>369290</v>
      </c>
      <c r="BB24" s="63">
        <v>463266</v>
      </c>
      <c r="BC24" s="63">
        <v>316750</v>
      </c>
      <c r="BD24" s="63">
        <v>291301</v>
      </c>
      <c r="BE24" s="63">
        <v>449692</v>
      </c>
      <c r="BF24" s="63">
        <v>240507</v>
      </c>
    </row>
    <row r="25" spans="1:58" ht="12" customHeight="1">
      <c r="A25" s="58"/>
      <c r="B25" s="58"/>
      <c r="C25" s="58"/>
      <c r="D25" s="58"/>
      <c r="E25" s="58"/>
      <c r="F25" s="59"/>
      <c r="G25" s="8"/>
      <c r="H25" s="60"/>
      <c r="I25" s="61"/>
      <c r="J25" s="61"/>
      <c r="K25" s="62"/>
      <c r="L25" s="63">
        <f t="shared" ref="L25:BF25" si="2">L24/1000</f>
        <v>1358.068</v>
      </c>
      <c r="M25" s="63">
        <f t="shared" si="2"/>
        <v>352.76799999999997</v>
      </c>
      <c r="N25" s="63">
        <f t="shared" si="2"/>
        <v>360.49799999999999</v>
      </c>
      <c r="O25" s="63">
        <f t="shared" si="2"/>
        <v>520.79399999999998</v>
      </c>
      <c r="P25" s="63">
        <f t="shared" si="2"/>
        <v>320.45</v>
      </c>
      <c r="Q25" s="63">
        <f t="shared" si="2"/>
        <v>321.72199999999998</v>
      </c>
      <c r="R25" s="63">
        <f t="shared" si="2"/>
        <v>504.45100000000002</v>
      </c>
      <c r="S25" s="63">
        <f t="shared" si="2"/>
        <v>665.06500000000005</v>
      </c>
      <c r="T25" s="63">
        <f t="shared" si="2"/>
        <v>438.19600000000003</v>
      </c>
      <c r="U25" s="63">
        <f t="shared" si="2"/>
        <v>470.52</v>
      </c>
      <c r="V25" s="63">
        <f t="shared" si="2"/>
        <v>1464.86</v>
      </c>
      <c r="W25" s="63">
        <f t="shared" si="2"/>
        <v>1320.12</v>
      </c>
      <c r="X25" s="63">
        <f t="shared" si="2"/>
        <v>2642.2310000000002</v>
      </c>
      <c r="Y25" s="63">
        <f t="shared" si="2"/>
        <v>1819.5029999999999</v>
      </c>
      <c r="Z25" s="63">
        <f t="shared" si="2"/>
        <v>621.18700000000001</v>
      </c>
      <c r="AA25" s="63">
        <f t="shared" si="2"/>
        <v>285.10199999999998</v>
      </c>
      <c r="AB25" s="63">
        <f t="shared" si="2"/>
        <v>275.33699999999999</v>
      </c>
      <c r="AC25" s="63">
        <f t="shared" si="2"/>
        <v>200.94200000000001</v>
      </c>
      <c r="AD25" s="63">
        <f t="shared" si="2"/>
        <v>211.58099999999999</v>
      </c>
      <c r="AE25" s="63">
        <f t="shared" si="2"/>
        <v>569.30100000000004</v>
      </c>
      <c r="AF25" s="63">
        <f t="shared" si="2"/>
        <v>499.399</v>
      </c>
      <c r="AG25" s="63">
        <f t="shared" si="2"/>
        <v>891.80700000000002</v>
      </c>
      <c r="AH25" s="63">
        <f t="shared" si="2"/>
        <v>1492.085</v>
      </c>
      <c r="AI25" s="63">
        <f t="shared" si="2"/>
        <v>447.10300000000001</v>
      </c>
      <c r="AJ25" s="63">
        <f t="shared" si="2"/>
        <v>288.78800000000001</v>
      </c>
      <c r="AK25" s="63">
        <f t="shared" si="2"/>
        <v>605.70899999999995</v>
      </c>
      <c r="AL25" s="63">
        <f t="shared" si="2"/>
        <v>1962.748</v>
      </c>
      <c r="AM25" s="63">
        <f t="shared" si="2"/>
        <v>1281.4860000000001</v>
      </c>
      <c r="AN25" s="63">
        <f t="shared" si="2"/>
        <v>333.74599999999998</v>
      </c>
      <c r="AO25" s="63">
        <f t="shared" si="2"/>
        <v>270.846</v>
      </c>
      <c r="AP25" s="63">
        <f t="shared" si="2"/>
        <v>153.614</v>
      </c>
      <c r="AQ25" s="63">
        <f t="shared" si="2"/>
        <v>207.398</v>
      </c>
      <c r="AR25" s="63">
        <f t="shared" si="2"/>
        <v>484.71800000000002</v>
      </c>
      <c r="AS25" s="63">
        <f t="shared" si="2"/>
        <v>676.66</v>
      </c>
      <c r="AT25" s="63">
        <f t="shared" si="2"/>
        <v>404.69400000000002</v>
      </c>
      <c r="AU25" s="63">
        <f t="shared" si="2"/>
        <v>209.92599999999999</v>
      </c>
      <c r="AV25" s="63">
        <f t="shared" si="2"/>
        <v>253.245</v>
      </c>
      <c r="AW25" s="63">
        <f t="shared" si="2"/>
        <v>378.59100000000001</v>
      </c>
      <c r="AX25" s="63">
        <f t="shared" si="2"/>
        <v>218.148</v>
      </c>
      <c r="AY25" s="63">
        <f t="shared" si="2"/>
        <v>1123.376</v>
      </c>
      <c r="AZ25" s="63">
        <f t="shared" si="2"/>
        <v>208.096</v>
      </c>
      <c r="BA25" s="63">
        <f t="shared" si="2"/>
        <v>369.29</v>
      </c>
      <c r="BB25" s="63">
        <f t="shared" si="2"/>
        <v>463.26600000000002</v>
      </c>
      <c r="BC25" s="63">
        <f t="shared" si="2"/>
        <v>316.75</v>
      </c>
      <c r="BD25" s="63">
        <f t="shared" si="2"/>
        <v>291.30099999999999</v>
      </c>
      <c r="BE25" s="63">
        <f t="shared" si="2"/>
        <v>449.69200000000001</v>
      </c>
      <c r="BF25" s="63">
        <f t="shared" si="2"/>
        <v>240.50700000000001</v>
      </c>
    </row>
    <row r="26" spans="1:58" ht="12" customHeight="1">
      <c r="A26" s="58" t="s">
        <v>174</v>
      </c>
      <c r="B26" s="58" t="s">
        <v>175</v>
      </c>
      <c r="C26" s="58" t="s">
        <v>176</v>
      </c>
      <c r="D26" s="58" t="s">
        <v>177</v>
      </c>
      <c r="E26" s="58" t="s">
        <v>178</v>
      </c>
      <c r="F26" s="59">
        <v>132</v>
      </c>
      <c r="G26" s="8"/>
      <c r="H26" s="60"/>
      <c r="I26" s="452" t="s">
        <v>194</v>
      </c>
      <c r="J26" s="452"/>
      <c r="K26" s="62" t="s" ph="1">
        <v>195</v>
      </c>
      <c r="L26" s="66">
        <v>24.703154078299999</v>
      </c>
      <c r="M26" s="66">
        <v>25.783421539399999</v>
      </c>
      <c r="N26" s="66">
        <v>27.2057125521</v>
      </c>
      <c r="O26" s="66">
        <v>22.345603104399999</v>
      </c>
      <c r="P26" s="66">
        <v>29.557881609799999</v>
      </c>
      <c r="Q26" s="66">
        <v>27.601620122300002</v>
      </c>
      <c r="R26" s="66">
        <v>25.0102380889</v>
      </c>
      <c r="S26" s="66">
        <v>22.495741448099999</v>
      </c>
      <c r="T26" s="66">
        <v>22.027725428099998</v>
      </c>
      <c r="U26" s="66">
        <v>23.557177925000001</v>
      </c>
      <c r="V26" s="66">
        <v>20.437142734399998</v>
      </c>
      <c r="W26" s="66">
        <v>21.539524861699999</v>
      </c>
      <c r="X26" s="66">
        <v>20.372137577499998</v>
      </c>
      <c r="Y26" s="66">
        <v>20.225457623200001</v>
      </c>
      <c r="Z26" s="66">
        <v>26.275200843299999</v>
      </c>
      <c r="AA26" s="66">
        <v>26.177521095199999</v>
      </c>
      <c r="AB26" s="66">
        <v>23.7242702084</v>
      </c>
      <c r="AC26" s="66">
        <v>25.163579168599998</v>
      </c>
      <c r="AD26" s="66">
        <v>24.649074469999999</v>
      </c>
      <c r="AE26" s="66">
        <v>26.5194999269</v>
      </c>
      <c r="AF26" s="66">
        <v>24.102884871099999</v>
      </c>
      <c r="AG26" s="66">
        <v>23.8241047932</v>
      </c>
      <c r="AH26" s="66">
        <v>20.303835301199999</v>
      </c>
      <c r="AI26" s="66">
        <v>24.265421003</v>
      </c>
      <c r="AJ26" s="66">
        <v>20.6701767345</v>
      </c>
      <c r="AK26" s="66">
        <v>23.350700568400001</v>
      </c>
      <c r="AL26" s="66">
        <v>22.364903991799999</v>
      </c>
      <c r="AM26" s="66">
        <v>23.064051812300001</v>
      </c>
      <c r="AN26" s="66">
        <v>23.961907469700002</v>
      </c>
      <c r="AO26" s="66">
        <v>27.263887322999999</v>
      </c>
      <c r="AP26" s="66">
        <v>26.318954602200002</v>
      </c>
      <c r="AQ26" s="66">
        <v>29.056739645499999</v>
      </c>
      <c r="AR26" s="66">
        <v>25.1401405762</v>
      </c>
      <c r="AS26" s="66">
        <v>23.9228765999</v>
      </c>
      <c r="AT26" s="66">
        <v>27.9736144146</v>
      </c>
      <c r="AU26" s="66">
        <v>26.972029140099998</v>
      </c>
      <c r="AV26" s="66">
        <v>25.831679189199999</v>
      </c>
      <c r="AW26" s="66">
        <v>26.609599222899998</v>
      </c>
      <c r="AX26" s="66">
        <v>28.760979108400001</v>
      </c>
      <c r="AY26" s="66">
        <v>22.309426480199999</v>
      </c>
      <c r="AZ26" s="66">
        <v>24.5758778575</v>
      </c>
      <c r="BA26" s="66">
        <v>26.003884140499999</v>
      </c>
      <c r="BB26" s="66">
        <v>25.647064294500002</v>
      </c>
      <c r="BC26" s="66">
        <v>26.624291945100001</v>
      </c>
      <c r="BD26" s="66">
        <v>25.761910531400002</v>
      </c>
      <c r="BE26" s="66">
        <v>26.464597600899999</v>
      </c>
      <c r="BF26" s="66">
        <v>17.367885151399999</v>
      </c>
    </row>
    <row r="27" spans="1:58" ht="12" customHeight="1">
      <c r="A27" s="58"/>
      <c r="B27" s="58"/>
      <c r="C27" s="58"/>
      <c r="D27" s="58"/>
      <c r="E27" s="58"/>
      <c r="F27" s="59"/>
      <c r="G27" s="8"/>
      <c r="H27" s="60"/>
      <c r="I27" s="74"/>
      <c r="J27" s="74"/>
      <c r="K27" s="62" ph="1"/>
      <c r="L27" s="63">
        <f t="shared" ref="L27:BF27" si="3">L26/1000</f>
        <v>2.47031540783E-2</v>
      </c>
      <c r="M27" s="63">
        <f t="shared" si="3"/>
        <v>2.5783421539399998E-2</v>
      </c>
      <c r="N27" s="63">
        <f t="shared" si="3"/>
        <v>2.7205712552100001E-2</v>
      </c>
      <c r="O27" s="63">
        <f t="shared" si="3"/>
        <v>2.2345603104399998E-2</v>
      </c>
      <c r="P27" s="63">
        <f t="shared" si="3"/>
        <v>2.95578816098E-2</v>
      </c>
      <c r="Q27" s="63">
        <f t="shared" si="3"/>
        <v>2.76016201223E-2</v>
      </c>
      <c r="R27" s="63">
        <f t="shared" si="3"/>
        <v>2.5010238088899999E-2</v>
      </c>
      <c r="S27" s="63">
        <f t="shared" si="3"/>
        <v>2.2495741448099998E-2</v>
      </c>
      <c r="T27" s="63">
        <f t="shared" si="3"/>
        <v>2.2027725428099998E-2</v>
      </c>
      <c r="U27" s="63">
        <f t="shared" si="3"/>
        <v>2.3557177925000002E-2</v>
      </c>
      <c r="V27" s="63">
        <f t="shared" si="3"/>
        <v>2.0437142734399998E-2</v>
      </c>
      <c r="W27" s="63">
        <f t="shared" si="3"/>
        <v>2.1539524861699997E-2</v>
      </c>
      <c r="X27" s="63">
        <f t="shared" si="3"/>
        <v>2.0372137577499998E-2</v>
      </c>
      <c r="Y27" s="63">
        <f t="shared" si="3"/>
        <v>2.0225457623200001E-2</v>
      </c>
      <c r="Z27" s="63">
        <f t="shared" si="3"/>
        <v>2.6275200843299998E-2</v>
      </c>
      <c r="AA27" s="63">
        <f t="shared" si="3"/>
        <v>2.6177521095199999E-2</v>
      </c>
      <c r="AB27" s="63">
        <f t="shared" si="3"/>
        <v>2.3724270208400001E-2</v>
      </c>
      <c r="AC27" s="63">
        <f t="shared" si="3"/>
        <v>2.5163579168599997E-2</v>
      </c>
      <c r="AD27" s="63">
        <f t="shared" si="3"/>
        <v>2.4649074469999997E-2</v>
      </c>
      <c r="AE27" s="63">
        <f t="shared" si="3"/>
        <v>2.65194999269E-2</v>
      </c>
      <c r="AF27" s="63">
        <f t="shared" si="3"/>
        <v>2.4102884871099999E-2</v>
      </c>
      <c r="AG27" s="63">
        <f t="shared" si="3"/>
        <v>2.3824104793200001E-2</v>
      </c>
      <c r="AH27" s="63">
        <f t="shared" si="3"/>
        <v>2.0303835301199998E-2</v>
      </c>
      <c r="AI27" s="63">
        <f t="shared" si="3"/>
        <v>2.4265421003000002E-2</v>
      </c>
      <c r="AJ27" s="63">
        <f t="shared" si="3"/>
        <v>2.0670176734500001E-2</v>
      </c>
      <c r="AK27" s="63">
        <f t="shared" si="3"/>
        <v>2.3350700568399999E-2</v>
      </c>
      <c r="AL27" s="63">
        <f t="shared" si="3"/>
        <v>2.2364903991799998E-2</v>
      </c>
      <c r="AM27" s="63">
        <f t="shared" si="3"/>
        <v>2.30640518123E-2</v>
      </c>
      <c r="AN27" s="63">
        <f t="shared" si="3"/>
        <v>2.3961907469700002E-2</v>
      </c>
      <c r="AO27" s="63">
        <f t="shared" si="3"/>
        <v>2.7263887322999999E-2</v>
      </c>
      <c r="AP27" s="63">
        <f t="shared" si="3"/>
        <v>2.63189546022E-2</v>
      </c>
      <c r="AQ27" s="63">
        <f t="shared" si="3"/>
        <v>2.9056739645499999E-2</v>
      </c>
      <c r="AR27" s="63">
        <f t="shared" si="3"/>
        <v>2.5140140576199999E-2</v>
      </c>
      <c r="AS27" s="63">
        <f t="shared" si="3"/>
        <v>2.39228765999E-2</v>
      </c>
      <c r="AT27" s="63">
        <f t="shared" si="3"/>
        <v>2.7973614414600001E-2</v>
      </c>
      <c r="AU27" s="63">
        <f t="shared" si="3"/>
        <v>2.6972029140099999E-2</v>
      </c>
      <c r="AV27" s="63">
        <f t="shared" si="3"/>
        <v>2.5831679189199999E-2</v>
      </c>
      <c r="AW27" s="63">
        <f t="shared" si="3"/>
        <v>2.6609599222899998E-2</v>
      </c>
      <c r="AX27" s="63">
        <f t="shared" si="3"/>
        <v>2.87609791084E-2</v>
      </c>
      <c r="AY27" s="63">
        <f t="shared" si="3"/>
        <v>2.2309426480199998E-2</v>
      </c>
      <c r="AZ27" s="63">
        <f t="shared" si="3"/>
        <v>2.4575877857500001E-2</v>
      </c>
      <c r="BA27" s="63">
        <f t="shared" si="3"/>
        <v>2.6003884140499998E-2</v>
      </c>
      <c r="BB27" s="63">
        <f t="shared" si="3"/>
        <v>2.5647064294500001E-2</v>
      </c>
      <c r="BC27" s="63">
        <f t="shared" si="3"/>
        <v>2.66242919451E-2</v>
      </c>
      <c r="BD27" s="63">
        <f t="shared" si="3"/>
        <v>2.5761910531400003E-2</v>
      </c>
      <c r="BE27" s="63">
        <f t="shared" si="3"/>
        <v>2.6464597600899999E-2</v>
      </c>
      <c r="BF27" s="63">
        <f t="shared" si="3"/>
        <v>1.73678851514E-2</v>
      </c>
    </row>
    <row r="28" spans="1:58" ht="12" customHeight="1">
      <c r="A28" s="58" t="s">
        <v>174</v>
      </c>
      <c r="B28" s="58" t="s">
        <v>175</v>
      </c>
      <c r="C28" s="58" t="s">
        <v>176</v>
      </c>
      <c r="D28" s="58" t="s">
        <v>177</v>
      </c>
      <c r="E28" s="58" t="s">
        <v>178</v>
      </c>
      <c r="F28" s="59">
        <v>128</v>
      </c>
      <c r="G28" s="8"/>
      <c r="H28" s="60"/>
      <c r="I28" s="451" t="s">
        <v>186</v>
      </c>
      <c r="J28" s="451"/>
      <c r="K28" s="64"/>
      <c r="L28" s="63">
        <v>670118</v>
      </c>
      <c r="M28" s="63">
        <v>179653</v>
      </c>
      <c r="N28" s="63">
        <v>192112</v>
      </c>
      <c r="O28" s="63">
        <v>264856</v>
      </c>
      <c r="P28" s="63">
        <v>175018</v>
      </c>
      <c r="Q28" s="63">
        <v>180050</v>
      </c>
      <c r="R28" s="63">
        <v>272653</v>
      </c>
      <c r="S28" s="63">
        <v>314974</v>
      </c>
      <c r="T28" s="63">
        <v>215563</v>
      </c>
      <c r="U28" s="63">
        <v>232852</v>
      </c>
      <c r="V28" s="63">
        <v>586882</v>
      </c>
      <c r="W28" s="63">
        <v>554260</v>
      </c>
      <c r="X28" s="63">
        <v>1215904</v>
      </c>
      <c r="Y28" s="63">
        <v>788522</v>
      </c>
      <c r="Z28" s="63">
        <v>333340</v>
      </c>
      <c r="AA28" s="63">
        <v>146983</v>
      </c>
      <c r="AB28" s="63">
        <v>140023</v>
      </c>
      <c r="AC28" s="63">
        <v>107596</v>
      </c>
      <c r="AD28" s="63">
        <v>110241</v>
      </c>
      <c r="AE28" s="63">
        <v>304363</v>
      </c>
      <c r="AF28" s="63">
        <v>243846</v>
      </c>
      <c r="AG28" s="63">
        <v>429409</v>
      </c>
      <c r="AH28" s="63">
        <v>652929</v>
      </c>
      <c r="AI28" s="63">
        <v>221000</v>
      </c>
      <c r="AJ28" s="63">
        <v>140289</v>
      </c>
      <c r="AK28" s="63">
        <v>286195</v>
      </c>
      <c r="AL28" s="63">
        <v>833107</v>
      </c>
      <c r="AM28" s="63">
        <v>600323</v>
      </c>
      <c r="AN28" s="63">
        <v>154057</v>
      </c>
      <c r="AO28" s="63">
        <v>138924</v>
      </c>
      <c r="AP28" s="63">
        <v>85095</v>
      </c>
      <c r="AQ28" s="63">
        <v>118736</v>
      </c>
      <c r="AR28" s="63">
        <v>249873</v>
      </c>
      <c r="AS28" s="63">
        <v>335608</v>
      </c>
      <c r="AT28" s="63">
        <v>210782</v>
      </c>
      <c r="AU28" s="63">
        <v>114042</v>
      </c>
      <c r="AV28" s="63">
        <v>134428</v>
      </c>
      <c r="AW28" s="63">
        <v>200551</v>
      </c>
      <c r="AX28" s="63">
        <v>120356</v>
      </c>
      <c r="AY28" s="63">
        <v>552905</v>
      </c>
      <c r="AZ28" s="63">
        <v>113027</v>
      </c>
      <c r="BA28" s="63">
        <v>198742</v>
      </c>
      <c r="BB28" s="63">
        <v>253926</v>
      </c>
      <c r="BC28" s="63">
        <v>168970</v>
      </c>
      <c r="BD28" s="63">
        <v>156610</v>
      </c>
      <c r="BE28" s="63">
        <v>252171</v>
      </c>
      <c r="BF28" s="63">
        <v>120346</v>
      </c>
    </row>
    <row r="29" spans="1:58" ht="12" customHeight="1">
      <c r="A29" s="58" t="s">
        <v>174</v>
      </c>
      <c r="B29" s="58" t="s">
        <v>175</v>
      </c>
      <c r="C29" s="58" t="s">
        <v>176</v>
      </c>
      <c r="D29" s="58" t="s">
        <v>177</v>
      </c>
      <c r="E29" s="58" t="s">
        <v>178</v>
      </c>
      <c r="F29" s="59">
        <v>129</v>
      </c>
      <c r="G29" s="8"/>
      <c r="H29" s="60"/>
      <c r="I29" s="451" t="s">
        <v>187</v>
      </c>
      <c r="J29" s="451"/>
      <c r="K29" s="64"/>
      <c r="L29" s="63">
        <v>179666</v>
      </c>
      <c r="M29" s="63">
        <v>44648</v>
      </c>
      <c r="N29" s="63">
        <v>51029</v>
      </c>
      <c r="O29" s="63">
        <v>70152</v>
      </c>
      <c r="P29" s="63">
        <v>45790</v>
      </c>
      <c r="Q29" s="63">
        <v>50586</v>
      </c>
      <c r="R29" s="63">
        <v>75381</v>
      </c>
      <c r="S29" s="63">
        <v>87579</v>
      </c>
      <c r="T29" s="63">
        <v>59201</v>
      </c>
      <c r="U29" s="63">
        <v>65742</v>
      </c>
      <c r="V29" s="63">
        <v>142975</v>
      </c>
      <c r="W29" s="63">
        <v>137223</v>
      </c>
      <c r="X29" s="63">
        <v>304978</v>
      </c>
      <c r="Y29" s="63">
        <v>198418</v>
      </c>
      <c r="Z29" s="63">
        <v>97261</v>
      </c>
      <c r="AA29" s="63">
        <v>42874</v>
      </c>
      <c r="AB29" s="63">
        <v>41619</v>
      </c>
      <c r="AC29" s="63">
        <v>31359</v>
      </c>
      <c r="AD29" s="63">
        <v>33421</v>
      </c>
      <c r="AE29" s="63">
        <v>91914</v>
      </c>
      <c r="AF29" s="63">
        <v>66039</v>
      </c>
      <c r="AG29" s="63">
        <v>117148</v>
      </c>
      <c r="AH29" s="63">
        <v>162475</v>
      </c>
      <c r="AI29" s="63">
        <v>58735</v>
      </c>
      <c r="AJ29" s="63">
        <v>38852</v>
      </c>
      <c r="AK29" s="63">
        <v>78350</v>
      </c>
      <c r="AL29" s="63">
        <v>202478</v>
      </c>
      <c r="AM29" s="63">
        <v>156862</v>
      </c>
      <c r="AN29" s="63">
        <v>42080</v>
      </c>
      <c r="AO29" s="63">
        <v>38943</v>
      </c>
      <c r="AP29" s="63">
        <v>25918</v>
      </c>
      <c r="AQ29" s="63">
        <v>36532</v>
      </c>
      <c r="AR29" s="63">
        <v>71968</v>
      </c>
      <c r="AS29" s="63">
        <v>98850</v>
      </c>
      <c r="AT29" s="63">
        <v>60989</v>
      </c>
      <c r="AU29" s="63">
        <v>31986</v>
      </c>
      <c r="AV29" s="63">
        <v>39054</v>
      </c>
      <c r="AW29" s="63">
        <v>57986</v>
      </c>
      <c r="AX29" s="63">
        <v>36458</v>
      </c>
      <c r="AY29" s="63">
        <v>153727</v>
      </c>
      <c r="AZ29" s="63">
        <v>33408</v>
      </c>
      <c r="BA29" s="63">
        <v>57267</v>
      </c>
      <c r="BB29" s="63">
        <v>75331</v>
      </c>
      <c r="BC29" s="63">
        <v>48145</v>
      </c>
      <c r="BD29" s="63">
        <v>44223</v>
      </c>
      <c r="BE29" s="63">
        <v>74553</v>
      </c>
      <c r="BF29" s="63">
        <v>34760</v>
      </c>
    </row>
    <row r="30" spans="1:58" ht="7.5" customHeight="1">
      <c r="F30" s="8"/>
      <c r="G30" s="8"/>
      <c r="H30" s="60"/>
      <c r="I30" s="60"/>
      <c r="J30" s="60"/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</row>
    <row r="31" spans="1:58" ht="12" customHeight="1">
      <c r="F31" s="65"/>
      <c r="G31" s="8"/>
      <c r="H31" s="60"/>
      <c r="I31" s="452" t="s">
        <v>188</v>
      </c>
      <c r="J31" s="452"/>
      <c r="K31" s="62" t="s">
        <v>189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</row>
    <row r="35" spans="1:58" ht="12" customHeight="1">
      <c r="A35" s="58" t="s">
        <v>174</v>
      </c>
      <c r="B35" s="58" t="s">
        <v>175</v>
      </c>
      <c r="C35" s="58" t="s">
        <v>176</v>
      </c>
      <c r="D35" s="58" t="s">
        <v>177</v>
      </c>
      <c r="E35" s="58" t="s">
        <v>178</v>
      </c>
      <c r="F35" s="59">
        <v>133</v>
      </c>
      <c r="G35" s="8"/>
      <c r="H35" s="60"/>
      <c r="I35" s="452" t="s">
        <v>196</v>
      </c>
      <c r="J35" s="452"/>
      <c r="K35" s="64"/>
      <c r="L35" s="66">
        <v>12.1893956743</v>
      </c>
      <c r="M35" s="66">
        <v>13.1306383511</v>
      </c>
      <c r="N35" s="66">
        <v>14.4981216257</v>
      </c>
      <c r="O35" s="66">
        <v>11.3641229657</v>
      </c>
      <c r="P35" s="66">
        <v>16.1434274414</v>
      </c>
      <c r="Q35" s="66">
        <v>15.4470993685</v>
      </c>
      <c r="R35" s="66">
        <v>13.517896576</v>
      </c>
      <c r="S35" s="66">
        <v>10.6539566311</v>
      </c>
      <c r="T35" s="66">
        <v>10.836161389999999</v>
      </c>
      <c r="U35" s="66">
        <v>11.6580294019</v>
      </c>
      <c r="V35" s="66">
        <v>8.1879436957999996</v>
      </c>
      <c r="W35" s="66">
        <v>9.0434938109999994</v>
      </c>
      <c r="X35" s="66">
        <v>9.3748667580999996</v>
      </c>
      <c r="Y35" s="66">
        <v>8.7651508659000008</v>
      </c>
      <c r="Z35" s="66">
        <v>14.099740414899999</v>
      </c>
      <c r="AA35" s="66">
        <v>13.495698322499999</v>
      </c>
      <c r="AB35" s="66">
        <v>12.065009378999999</v>
      </c>
      <c r="AC35" s="66">
        <v>13.474039594600001</v>
      </c>
      <c r="AD35" s="66">
        <v>12.843018128500001</v>
      </c>
      <c r="AE35" s="66">
        <v>14.1780087445</v>
      </c>
      <c r="AF35" s="66">
        <v>11.768930382900001</v>
      </c>
      <c r="AG35" s="66">
        <v>11.4714114322</v>
      </c>
      <c r="AH35" s="66">
        <v>8.8848576853000001</v>
      </c>
      <c r="AI35" s="66">
        <v>11.994234084</v>
      </c>
      <c r="AJ35" s="66">
        <v>10.041270495699999</v>
      </c>
      <c r="AK35" s="66">
        <v>11.0331095447</v>
      </c>
      <c r="AL35" s="66">
        <v>9.4929955703999997</v>
      </c>
      <c r="AM35" s="66">
        <v>10.804550947999999</v>
      </c>
      <c r="AN35" s="66">
        <v>11.060805459999999</v>
      </c>
      <c r="AO35" s="66">
        <v>13.984361159000001</v>
      </c>
      <c r="AP35" s="66">
        <v>14.5794747997</v>
      </c>
      <c r="AQ35" s="66">
        <v>16.635073812400002</v>
      </c>
      <c r="AR35" s="66">
        <v>12.9597876419</v>
      </c>
      <c r="AS35" s="66">
        <v>11.865203750699999</v>
      </c>
      <c r="AT35" s="66">
        <v>14.5698586921</v>
      </c>
      <c r="AU35" s="66">
        <v>14.652516349500001</v>
      </c>
      <c r="AV35" s="66">
        <v>13.7120218367</v>
      </c>
      <c r="AW35" s="66">
        <v>14.095902263299999</v>
      </c>
      <c r="AX35" s="66">
        <v>15.867926369099999</v>
      </c>
      <c r="AY35" s="66">
        <v>10.980289278100001</v>
      </c>
      <c r="AZ35" s="66">
        <v>13.3483476213</v>
      </c>
      <c r="BA35" s="66">
        <v>13.994594876300001</v>
      </c>
      <c r="BB35" s="66">
        <v>14.057704316900001</v>
      </c>
      <c r="BC35" s="66">
        <v>14.202704372399999</v>
      </c>
      <c r="BD35" s="66">
        <v>13.850185232199999</v>
      </c>
      <c r="BE35" s="66">
        <v>14.840388625099999</v>
      </c>
      <c r="BF35" s="66">
        <v>8.6906223371000006</v>
      </c>
    </row>
    <row r="36" spans="1:58" ht="12" customHeight="1">
      <c r="A36" s="58" t="s">
        <v>174</v>
      </c>
      <c r="B36" s="58" t="s">
        <v>175</v>
      </c>
      <c r="C36" s="58" t="s">
        <v>176</v>
      </c>
      <c r="D36" s="58" t="s">
        <v>177</v>
      </c>
      <c r="E36" s="58" t="s">
        <v>178</v>
      </c>
      <c r="F36" s="59">
        <v>134</v>
      </c>
      <c r="G36" s="8"/>
      <c r="H36" s="60"/>
      <c r="I36" s="452" t="s">
        <v>197</v>
      </c>
      <c r="J36" s="452"/>
      <c r="K36" s="64"/>
      <c r="L36" s="66">
        <v>3.2681109345000001</v>
      </c>
      <c r="M36" s="66">
        <v>3.2632727597</v>
      </c>
      <c r="N36" s="66">
        <v>3.8510069566</v>
      </c>
      <c r="O36" s="66">
        <v>3.0099977131000002</v>
      </c>
      <c r="P36" s="66">
        <v>4.2236086719000001</v>
      </c>
      <c r="Q36" s="66">
        <v>4.3399442857999997</v>
      </c>
      <c r="R36" s="66">
        <v>3.7373238577999999</v>
      </c>
      <c r="S36" s="66">
        <v>2.9623488535</v>
      </c>
      <c r="T36" s="66">
        <v>2.9759819192000001</v>
      </c>
      <c r="U36" s="66">
        <v>3.2914562422999998</v>
      </c>
      <c r="V36" s="66">
        <v>1.9947302011000001</v>
      </c>
      <c r="W36" s="66">
        <v>2.2389769263999999</v>
      </c>
      <c r="X36" s="66">
        <v>2.3514423130000002</v>
      </c>
      <c r="Y36" s="66">
        <v>2.205599469</v>
      </c>
      <c r="Z36" s="66">
        <v>4.1139822777999999</v>
      </c>
      <c r="AA36" s="66">
        <v>3.9366087906999998</v>
      </c>
      <c r="AB36" s="66">
        <v>3.5860796108000002</v>
      </c>
      <c r="AC36" s="66">
        <v>3.9270270980999999</v>
      </c>
      <c r="AD36" s="66">
        <v>3.8935288038999998</v>
      </c>
      <c r="AE36" s="66">
        <v>4.2815897324999996</v>
      </c>
      <c r="AF36" s="66">
        <v>3.1872919528999999</v>
      </c>
      <c r="AG36" s="66">
        <v>3.1295406161999999</v>
      </c>
      <c r="AH36" s="66">
        <v>2.2109099954000002</v>
      </c>
      <c r="AI36" s="66">
        <v>3.1876983661999998</v>
      </c>
      <c r="AJ36" s="66">
        <v>2.7808555289000001</v>
      </c>
      <c r="AK36" s="66">
        <v>3.0204725199000002</v>
      </c>
      <c r="AL36" s="66">
        <v>2.307173937</v>
      </c>
      <c r="AM36" s="66">
        <v>2.8231859695999999</v>
      </c>
      <c r="AN36" s="66">
        <v>3.0212109398</v>
      </c>
      <c r="AO36" s="66">
        <v>3.9200784357999998</v>
      </c>
      <c r="AP36" s="66">
        <v>4.4405761544000004</v>
      </c>
      <c r="AQ36" s="66">
        <v>5.1181824932</v>
      </c>
      <c r="AR36" s="66">
        <v>3.7326561774</v>
      </c>
      <c r="AS36" s="66">
        <v>3.4947778084999999</v>
      </c>
      <c r="AT36" s="66">
        <v>4.2157352703999997</v>
      </c>
      <c r="AU36" s="66">
        <v>4.1096735233999997</v>
      </c>
      <c r="AV36" s="66">
        <v>3.9836142828000001</v>
      </c>
      <c r="AW36" s="66">
        <v>4.0755966743999998</v>
      </c>
      <c r="AX36" s="66">
        <v>4.8066806770000001</v>
      </c>
      <c r="AY36" s="66">
        <v>3.0529058877000002</v>
      </c>
      <c r="AZ36" s="66">
        <v>3.9454431005999999</v>
      </c>
      <c r="BA36" s="66">
        <v>4.0325067916000004</v>
      </c>
      <c r="BB36" s="66">
        <v>4.1704312433000004</v>
      </c>
      <c r="BC36" s="66">
        <v>4.0468083211000003</v>
      </c>
      <c r="BD36" s="66">
        <v>3.9109682748000001</v>
      </c>
      <c r="BE36" s="66">
        <v>4.3874810869000003</v>
      </c>
      <c r="BF36" s="66">
        <v>2.5101460160000002</v>
      </c>
    </row>
    <row r="37" spans="1:58" ht="7.5" customHeight="1">
      <c r="F37" s="8"/>
      <c r="G37" s="8"/>
      <c r="H37" s="60"/>
      <c r="I37" s="60"/>
      <c r="J37" s="60"/>
      <c r="K37" s="6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  <row r="38" spans="1:58" ht="12" customHeight="1">
      <c r="A38" s="58" t="s">
        <v>174</v>
      </c>
      <c r="B38" s="58" t="s">
        <v>175</v>
      </c>
      <c r="C38" s="58" t="s">
        <v>176</v>
      </c>
      <c r="D38" s="58" t="s">
        <v>177</v>
      </c>
      <c r="E38" s="58" t="s">
        <v>178</v>
      </c>
      <c r="F38" s="59">
        <v>135</v>
      </c>
      <c r="G38" s="8"/>
      <c r="H38" s="451" t="s">
        <v>198</v>
      </c>
      <c r="I38" s="451"/>
      <c r="J38" s="452"/>
      <c r="K38" s="62" t="s">
        <v>199</v>
      </c>
      <c r="L38" s="66">
        <v>46.493788686599999</v>
      </c>
      <c r="M38" s="66">
        <v>46.9977696925</v>
      </c>
      <c r="N38" s="66">
        <v>47.386572302700003</v>
      </c>
      <c r="O38" s="66">
        <v>44.627855822900003</v>
      </c>
      <c r="P38" s="66">
        <v>49.297385771599998</v>
      </c>
      <c r="Q38" s="66">
        <v>47.644765187799997</v>
      </c>
      <c r="R38" s="66">
        <v>46.142630212100002</v>
      </c>
      <c r="S38" s="66">
        <v>44.881326774000001</v>
      </c>
      <c r="T38" s="66">
        <v>44.840266114599999</v>
      </c>
      <c r="U38" s="66">
        <v>45.331763839399997</v>
      </c>
      <c r="V38" s="66">
        <v>43.615386300300003</v>
      </c>
      <c r="W38" s="66">
        <v>44.310456195</v>
      </c>
      <c r="X38" s="66">
        <v>43.781952411500001</v>
      </c>
      <c r="Y38" s="66">
        <v>43.412862269400001</v>
      </c>
      <c r="Z38" s="66">
        <v>47.022145525900001</v>
      </c>
      <c r="AA38" s="66">
        <v>46.9097584266</v>
      </c>
      <c r="AB38" s="66">
        <v>45.328990212599997</v>
      </c>
      <c r="AC38" s="66">
        <v>45.994133691000002</v>
      </c>
      <c r="AD38" s="66">
        <v>45.828319972800003</v>
      </c>
      <c r="AE38" s="66">
        <v>46.625696060000003</v>
      </c>
      <c r="AF38" s="66">
        <v>45.2917548084</v>
      </c>
      <c r="AG38" s="66">
        <v>45.422681261999998</v>
      </c>
      <c r="AH38" s="66">
        <v>42.937095851499997</v>
      </c>
      <c r="AI38" s="66">
        <v>45.416293814200003</v>
      </c>
      <c r="AJ38" s="66">
        <v>43.116145739399997</v>
      </c>
      <c r="AK38" s="66">
        <v>44.849734479799999</v>
      </c>
      <c r="AL38" s="66">
        <v>44.302691266099998</v>
      </c>
      <c r="AM38" s="66">
        <v>44.852106518699998</v>
      </c>
      <c r="AN38" s="66">
        <v>45.411408445699998</v>
      </c>
      <c r="AO38" s="66">
        <v>47.340277665899997</v>
      </c>
      <c r="AP38" s="66">
        <v>46.873078300300001</v>
      </c>
      <c r="AQ38" s="66">
        <v>48.359202347</v>
      </c>
      <c r="AR38" s="66">
        <v>45.686553454699997</v>
      </c>
      <c r="AS38" s="66">
        <v>45.315824679199999</v>
      </c>
      <c r="AT38" s="66">
        <v>47.7307715703</v>
      </c>
      <c r="AU38" s="66">
        <v>47.564218627499997</v>
      </c>
      <c r="AV38" s="66">
        <v>46.689501675899997</v>
      </c>
      <c r="AW38" s="66">
        <v>47.125126778099997</v>
      </c>
      <c r="AX38" s="66">
        <v>48.408271214000003</v>
      </c>
      <c r="AY38" s="66">
        <v>44.493552291</v>
      </c>
      <c r="AZ38" s="66">
        <v>45.574519131400002</v>
      </c>
      <c r="BA38" s="66">
        <v>46.767849372000001</v>
      </c>
      <c r="BB38" s="66">
        <v>46.247209230700001</v>
      </c>
      <c r="BC38" s="66">
        <v>46.943279541199999</v>
      </c>
      <c r="BD38" s="66">
        <v>46.463346224600002</v>
      </c>
      <c r="BE38" s="66">
        <v>46.792885975399997</v>
      </c>
      <c r="BF38" s="66">
        <v>40.746192897100002</v>
      </c>
    </row>
    <row r="39" spans="1:58" ht="12" customHeight="1">
      <c r="A39" s="58" t="s">
        <v>174</v>
      </c>
      <c r="B39" s="58" t="s">
        <v>175</v>
      </c>
      <c r="C39" s="58" t="s">
        <v>176</v>
      </c>
      <c r="D39" s="58" t="s">
        <v>177</v>
      </c>
      <c r="E39" s="58" t="s">
        <v>178</v>
      </c>
      <c r="F39" s="59">
        <v>136</v>
      </c>
      <c r="G39" s="8"/>
      <c r="H39" s="451" t="s">
        <v>200</v>
      </c>
      <c r="I39" s="451"/>
      <c r="J39" s="452"/>
      <c r="K39" s="62" t="s">
        <v>201</v>
      </c>
      <c r="L39" s="66">
        <v>47.732339202299997</v>
      </c>
      <c r="M39" s="66">
        <v>49.1039524599</v>
      </c>
      <c r="N39" s="66">
        <v>49.545498314900001</v>
      </c>
      <c r="O39" s="66">
        <v>44.823780111200001</v>
      </c>
      <c r="P39" s="66">
        <v>52.405247036900001</v>
      </c>
      <c r="Q39" s="66">
        <v>49.950661729399997</v>
      </c>
      <c r="R39" s="66">
        <v>47.796178088200001</v>
      </c>
      <c r="S39" s="66">
        <v>45.415854350399997</v>
      </c>
      <c r="T39" s="66">
        <v>45.371383552300003</v>
      </c>
      <c r="U39" s="66">
        <v>45.823711456200002</v>
      </c>
      <c r="V39" s="66">
        <v>43.195031010999998</v>
      </c>
      <c r="W39" s="66">
        <v>43.992575925600001</v>
      </c>
      <c r="X39" s="66">
        <v>42.340608889199999</v>
      </c>
      <c r="Y39" s="66">
        <v>42.607065046199999</v>
      </c>
      <c r="Z39" s="66">
        <v>48.599325186900003</v>
      </c>
      <c r="AA39" s="66">
        <v>48.0716981132</v>
      </c>
      <c r="AB39" s="66">
        <v>45.687260632899999</v>
      </c>
      <c r="AC39" s="66">
        <v>47.068946469799997</v>
      </c>
      <c r="AD39" s="66">
        <v>46.533312660599996</v>
      </c>
      <c r="AE39" s="66">
        <v>47.5432769572</v>
      </c>
      <c r="AF39" s="66">
        <v>45.896509262199999</v>
      </c>
      <c r="AG39" s="66">
        <v>45.998365001400003</v>
      </c>
      <c r="AH39" s="66">
        <v>42.104267285900001</v>
      </c>
      <c r="AI39" s="66">
        <v>45.926511774700003</v>
      </c>
      <c r="AJ39" s="66">
        <v>42.455192477499999</v>
      </c>
      <c r="AK39" s="66">
        <v>44.5356836538</v>
      </c>
      <c r="AL39" s="66">
        <v>43.733723543799996</v>
      </c>
      <c r="AM39" s="66">
        <v>45.027806952699997</v>
      </c>
      <c r="AN39" s="66">
        <v>46.148123822000002</v>
      </c>
      <c r="AO39" s="66">
        <v>49.126590928500001</v>
      </c>
      <c r="AP39" s="66">
        <v>48.647496031199999</v>
      </c>
      <c r="AQ39" s="66">
        <v>51.005509491600002</v>
      </c>
      <c r="AR39" s="66">
        <v>46.174167776300003</v>
      </c>
      <c r="AS39" s="66">
        <v>45.609741331899997</v>
      </c>
      <c r="AT39" s="66">
        <v>50.138684578400003</v>
      </c>
      <c r="AU39" s="66">
        <v>49.680327868900001</v>
      </c>
      <c r="AV39" s="66">
        <v>48.062827225100001</v>
      </c>
      <c r="AW39" s="66">
        <v>48.909270276800001</v>
      </c>
      <c r="AX39" s="66">
        <v>50.859699198599998</v>
      </c>
      <c r="AY39" s="66">
        <v>44.503883034300003</v>
      </c>
      <c r="AZ39" s="66">
        <v>47.018215576099998</v>
      </c>
      <c r="BA39" s="66">
        <v>48.945504405199998</v>
      </c>
      <c r="BB39" s="66">
        <v>47.8406511628</v>
      </c>
      <c r="BC39" s="66">
        <v>48.847752555600003</v>
      </c>
      <c r="BD39" s="66">
        <v>48.633094331199999</v>
      </c>
      <c r="BE39" s="66">
        <v>48.974248392100002</v>
      </c>
      <c r="BF39" s="66">
        <v>39.9967885995</v>
      </c>
    </row>
    <row r="40" spans="1:58" ht="7.5" customHeight="1">
      <c r="F40" s="67"/>
      <c r="G40" s="8"/>
      <c r="H40" s="68"/>
      <c r="I40" s="68"/>
      <c r="J40" s="68"/>
      <c r="K40" s="69"/>
      <c r="L40" s="70"/>
      <c r="M40" s="71"/>
      <c r="N40" s="71"/>
      <c r="O40" s="70"/>
      <c r="P40" s="71"/>
      <c r="Q40" s="71"/>
      <c r="R40" s="70"/>
      <c r="S40" s="71"/>
      <c r="T40" s="71"/>
      <c r="U40" s="70"/>
      <c r="V40" s="71"/>
      <c r="W40" s="71"/>
      <c r="X40" s="70"/>
      <c r="Y40" s="71"/>
      <c r="Z40" s="71"/>
      <c r="AA40" s="70"/>
      <c r="AB40" s="71"/>
      <c r="AC40" s="71"/>
      <c r="AD40" s="70"/>
      <c r="AE40" s="71"/>
      <c r="AF40" s="71"/>
      <c r="AG40" s="70"/>
      <c r="AH40" s="71"/>
      <c r="AI40" s="71"/>
      <c r="AJ40" s="70"/>
      <c r="AK40" s="71"/>
      <c r="AL40" s="71"/>
      <c r="AM40" s="70"/>
      <c r="AN40" s="71"/>
      <c r="AO40" s="71"/>
      <c r="AP40" s="70"/>
      <c r="AQ40" s="71"/>
      <c r="AR40" s="71"/>
      <c r="AS40" s="70"/>
      <c r="AT40" s="71"/>
      <c r="AU40" s="71"/>
      <c r="AV40" s="70"/>
      <c r="AW40" s="71"/>
      <c r="AX40" s="71"/>
      <c r="AY40" s="70"/>
      <c r="AZ40" s="71"/>
      <c r="BA40" s="71"/>
      <c r="BB40" s="70"/>
      <c r="BC40" s="71"/>
      <c r="BD40" s="71"/>
      <c r="BE40" s="70"/>
      <c r="BF40" s="71"/>
    </row>
    <row r="41" spans="1:58" ht="12" customHeight="1"/>
    <row r="42" spans="1:58" ht="12" customHeight="1">
      <c r="L42" s="73">
        <v>657312</v>
      </c>
      <c r="M42" s="73">
        <v>171842</v>
      </c>
      <c r="N42" s="73">
        <v>168804</v>
      </c>
      <c r="O42" s="7">
        <v>308201</v>
      </c>
      <c r="P42" s="7">
        <v>124061</v>
      </c>
      <c r="Q42" s="7">
        <v>149759</v>
      </c>
      <c r="R42" s="7">
        <v>276069</v>
      </c>
      <c r="S42" s="7">
        <v>399638</v>
      </c>
      <c r="T42" s="7">
        <v>269823</v>
      </c>
      <c r="U42" s="7">
        <v>275225</v>
      </c>
      <c r="V42" s="7">
        <v>953668</v>
      </c>
      <c r="W42" s="7">
        <v>799646</v>
      </c>
      <c r="X42" s="7">
        <v>1477371</v>
      </c>
      <c r="Y42" s="7">
        <v>1187743</v>
      </c>
      <c r="Z42" s="7">
        <v>301708</v>
      </c>
      <c r="AA42" s="7">
        <v>141936</v>
      </c>
      <c r="AB42" s="7">
        <v>159283</v>
      </c>
      <c r="AC42" s="7">
        <v>112192</v>
      </c>
      <c r="AD42" s="7">
        <v>115337</v>
      </c>
      <c r="AE42" s="7">
        <v>295742</v>
      </c>
      <c r="AF42" s="7">
        <v>289748</v>
      </c>
      <c r="AG42" s="7">
        <v>511575</v>
      </c>
      <c r="AH42" s="7">
        <v>1065254</v>
      </c>
      <c r="AI42" s="7">
        <v>253174</v>
      </c>
      <c r="AJ42" s="7">
        <v>210753</v>
      </c>
      <c r="AK42" s="7">
        <v>334444</v>
      </c>
      <c r="AL42" s="7">
        <v>1165200</v>
      </c>
      <c r="AM42" s="7">
        <v>759277</v>
      </c>
      <c r="AN42" s="7">
        <v>184011</v>
      </c>
      <c r="AO42" s="7">
        <v>128005</v>
      </c>
      <c r="AP42" s="7">
        <v>77951</v>
      </c>
      <c r="AQ42" s="7">
        <v>92218</v>
      </c>
      <c r="AR42" s="7">
        <v>264853</v>
      </c>
      <c r="AS42" s="7">
        <v>386810</v>
      </c>
      <c r="AT42" s="7">
        <v>184049</v>
      </c>
      <c r="AU42" s="7">
        <v>96596</v>
      </c>
      <c r="AV42" s="7">
        <v>131670</v>
      </c>
      <c r="AW42" s="7">
        <v>185179</v>
      </c>
      <c r="AX42" s="7">
        <v>92798</v>
      </c>
      <c r="AY42" s="7">
        <v>684124</v>
      </c>
      <c r="AZ42" s="7">
        <v>123447</v>
      </c>
      <c r="BA42" s="7">
        <v>193428</v>
      </c>
      <c r="BB42" s="7">
        <v>249606</v>
      </c>
      <c r="BC42" s="7">
        <v>155634</v>
      </c>
      <c r="BD42" s="7">
        <v>158588</v>
      </c>
      <c r="BE42" s="7">
        <v>233379</v>
      </c>
      <c r="BF42" s="7">
        <v>246313</v>
      </c>
    </row>
    <row r="43" spans="1:58" ht="12" customHeight="1">
      <c r="L43" s="73">
        <v>657.31200000000001</v>
      </c>
      <c r="M43" s="73">
        <v>171.84200000000001</v>
      </c>
      <c r="N43" s="73">
        <v>168.804</v>
      </c>
      <c r="O43" s="7">
        <v>308.20100000000002</v>
      </c>
      <c r="P43" s="7">
        <v>124.06100000000001</v>
      </c>
      <c r="Q43" s="7">
        <v>149.75899999999999</v>
      </c>
      <c r="R43" s="7">
        <v>276.06900000000002</v>
      </c>
      <c r="S43" s="7">
        <v>399.63799999999998</v>
      </c>
      <c r="T43" s="7">
        <v>269.82299999999998</v>
      </c>
      <c r="U43" s="7">
        <v>275.22500000000002</v>
      </c>
      <c r="V43" s="7">
        <v>953.66800000000001</v>
      </c>
      <c r="W43" s="7">
        <v>799.64599999999996</v>
      </c>
      <c r="X43" s="7">
        <v>1477.3710000000001</v>
      </c>
      <c r="Y43" s="7">
        <v>1187.7429999999999</v>
      </c>
      <c r="Z43" s="7">
        <v>301.70800000000003</v>
      </c>
      <c r="AA43" s="7">
        <v>141.93600000000001</v>
      </c>
      <c r="AB43" s="7">
        <v>159.28299999999999</v>
      </c>
      <c r="AC43" s="7">
        <v>112.19199999999999</v>
      </c>
      <c r="AD43" s="7">
        <v>115.337</v>
      </c>
      <c r="AE43" s="7">
        <v>295.74200000000002</v>
      </c>
      <c r="AF43" s="7">
        <v>289.74799999999999</v>
      </c>
      <c r="AG43" s="7">
        <v>511.57499999999999</v>
      </c>
      <c r="AH43" s="7">
        <v>1065.2539999999999</v>
      </c>
      <c r="AI43" s="7">
        <v>253.17400000000001</v>
      </c>
      <c r="AJ43" s="7">
        <v>210.75299999999999</v>
      </c>
      <c r="AK43" s="7">
        <v>334.44400000000002</v>
      </c>
      <c r="AL43" s="7">
        <v>1165.2</v>
      </c>
      <c r="AM43" s="7">
        <v>759.27700000000004</v>
      </c>
      <c r="AN43" s="7">
        <v>184.011</v>
      </c>
      <c r="AO43" s="7">
        <v>128.005</v>
      </c>
      <c r="AP43" s="7">
        <v>77.950999999999993</v>
      </c>
      <c r="AQ43" s="7">
        <v>92.218000000000004</v>
      </c>
      <c r="AR43" s="7">
        <v>264.85300000000001</v>
      </c>
      <c r="AS43" s="7">
        <v>386.81</v>
      </c>
      <c r="AT43" s="7">
        <v>184.04900000000001</v>
      </c>
      <c r="AU43" s="7">
        <v>96.596000000000004</v>
      </c>
      <c r="AV43" s="7">
        <v>131.66999999999999</v>
      </c>
      <c r="AW43" s="7">
        <v>185.179</v>
      </c>
      <c r="AX43" s="7">
        <v>92.798000000000002</v>
      </c>
      <c r="AY43" s="7">
        <v>684.12400000000002</v>
      </c>
      <c r="AZ43" s="7">
        <v>123.447</v>
      </c>
      <c r="BA43" s="7">
        <v>193.428</v>
      </c>
      <c r="BB43" s="7">
        <v>249.60599999999999</v>
      </c>
      <c r="BC43" s="7">
        <v>155.63399999999999</v>
      </c>
      <c r="BD43" s="7">
        <v>158.58799999999999</v>
      </c>
      <c r="BE43" s="7">
        <v>233.37899999999999</v>
      </c>
      <c r="BF43" s="7">
        <v>246.31299999999999</v>
      </c>
    </row>
    <row r="44" spans="1:58" ht="12" customHeight="1">
      <c r="L44" s="73">
        <v>11.956455504099999</v>
      </c>
      <c r="M44" s="73">
        <v>12.5597410314</v>
      </c>
      <c r="N44" s="73">
        <v>12.739136144</v>
      </c>
      <c r="O44" s="7">
        <v>13.2239181373</v>
      </c>
      <c r="P44" s="7">
        <v>11.4432215647</v>
      </c>
      <c r="Q44" s="7">
        <v>12.8483318763</v>
      </c>
      <c r="R44" s="7">
        <v>13.6872588595</v>
      </c>
      <c r="S44" s="7">
        <v>13.5177059698</v>
      </c>
      <c r="T44" s="7">
        <v>13.5637636085</v>
      </c>
      <c r="U44" s="7">
        <v>13.7794871512</v>
      </c>
      <c r="V44" s="7">
        <v>13.305195743800001</v>
      </c>
      <c r="W44" s="7">
        <v>13.0472948653</v>
      </c>
      <c r="X44" s="7">
        <v>11.390830425100001</v>
      </c>
      <c r="Y44" s="7">
        <v>13.202861283400001</v>
      </c>
      <c r="Z44" s="7">
        <v>12.7617582081</v>
      </c>
      <c r="AA44" s="7">
        <v>13.032292422299999</v>
      </c>
      <c r="AB44" s="7">
        <v>13.724537318299999</v>
      </c>
      <c r="AC44" s="7">
        <v>14.0495878118</v>
      </c>
      <c r="AD44" s="7">
        <v>13.436699430199999</v>
      </c>
      <c r="AE44" s="7">
        <v>13.776420465399999</v>
      </c>
      <c r="AF44" s="7">
        <v>13.984334541400001</v>
      </c>
      <c r="AG44" s="7">
        <v>13.666428285</v>
      </c>
      <c r="AH44" s="7">
        <v>14.495649892599999</v>
      </c>
      <c r="AI44" s="7">
        <v>13.740399185499999</v>
      </c>
      <c r="AJ44" s="7">
        <v>15.084774150299999</v>
      </c>
      <c r="AK44" s="7">
        <v>12.893157772</v>
      </c>
      <c r="AL44" s="7">
        <v>13.277092184600001</v>
      </c>
      <c r="AM44" s="7">
        <v>13.6653885161</v>
      </c>
      <c r="AN44" s="7">
        <v>13.211407943199999</v>
      </c>
      <c r="AO44" s="7">
        <v>12.885233294100001</v>
      </c>
      <c r="AP44" s="7">
        <v>13.3554808168</v>
      </c>
      <c r="AQ44" s="7">
        <v>12.9198662312</v>
      </c>
      <c r="AR44" s="7">
        <v>13.736732805600001</v>
      </c>
      <c r="AS44" s="7">
        <v>13.675417340499999</v>
      </c>
      <c r="AT44" s="7">
        <v>12.7219967664</v>
      </c>
      <c r="AU44" s="7">
        <v>12.410993049</v>
      </c>
      <c r="AV44" s="7">
        <v>13.430698331</v>
      </c>
      <c r="AW44" s="7">
        <v>13.015467812200001</v>
      </c>
      <c r="AX44" s="7">
        <v>12.234635840299999</v>
      </c>
      <c r="AY44" s="7">
        <v>13.586202733</v>
      </c>
      <c r="AZ44" s="7">
        <v>14.5789366152</v>
      </c>
      <c r="BA44" s="7">
        <v>13.620404835</v>
      </c>
      <c r="BB44" s="7">
        <v>13.818542976</v>
      </c>
      <c r="BC44" s="7">
        <v>13.081752336499999</v>
      </c>
      <c r="BD44" s="7">
        <v>14.025114460099999</v>
      </c>
      <c r="BE44" s="7">
        <v>13.7344700895</v>
      </c>
      <c r="BF44" s="7">
        <v>17.787157526800002</v>
      </c>
    </row>
    <row r="45" spans="1:58" ht="12" customHeight="1">
      <c r="L45" s="73">
        <v>3482169</v>
      </c>
      <c r="M45" s="73">
        <v>843587</v>
      </c>
      <c r="N45" s="73">
        <v>795780</v>
      </c>
      <c r="O45" s="7">
        <v>1501638</v>
      </c>
      <c r="P45" s="7">
        <v>639633</v>
      </c>
      <c r="Q45" s="7">
        <v>694110</v>
      </c>
      <c r="R45" s="7">
        <v>1236458</v>
      </c>
      <c r="S45" s="7">
        <v>1891701</v>
      </c>
      <c r="T45" s="7">
        <v>1281274</v>
      </c>
      <c r="U45" s="7">
        <v>1251608</v>
      </c>
      <c r="V45" s="7">
        <v>4749108</v>
      </c>
      <c r="W45" s="7">
        <v>4009060</v>
      </c>
      <c r="X45" s="7">
        <v>8850225</v>
      </c>
      <c r="Y45" s="7">
        <v>5988857</v>
      </c>
      <c r="Z45" s="7">
        <v>1441262</v>
      </c>
      <c r="AA45" s="7">
        <v>662072</v>
      </c>
      <c r="AB45" s="7">
        <v>725951</v>
      </c>
      <c r="AC45" s="7">
        <v>485409</v>
      </c>
      <c r="AD45" s="7">
        <v>531455</v>
      </c>
      <c r="AE45" s="7">
        <v>1281683</v>
      </c>
      <c r="AF45" s="7">
        <v>1282800</v>
      </c>
      <c r="AG45" s="7">
        <v>2339915</v>
      </c>
      <c r="AH45" s="7">
        <v>4791445</v>
      </c>
      <c r="AI45" s="7">
        <v>1142275</v>
      </c>
      <c r="AJ45" s="7">
        <v>897583</v>
      </c>
      <c r="AK45" s="7">
        <v>1653812</v>
      </c>
      <c r="AL45" s="7">
        <v>5648070</v>
      </c>
      <c r="AM45" s="7">
        <v>3515442</v>
      </c>
      <c r="AN45" s="7">
        <v>875062</v>
      </c>
      <c r="AO45" s="7">
        <v>594573</v>
      </c>
      <c r="AP45" s="7">
        <v>352098</v>
      </c>
      <c r="AQ45" s="7">
        <v>414153</v>
      </c>
      <c r="AR45" s="7">
        <v>1178493</v>
      </c>
      <c r="AS45" s="7">
        <v>1765036</v>
      </c>
      <c r="AT45" s="7">
        <v>857956</v>
      </c>
      <c r="AU45" s="7">
        <v>471788</v>
      </c>
      <c r="AV45" s="7">
        <v>595451</v>
      </c>
      <c r="AW45" s="7">
        <v>858991</v>
      </c>
      <c r="AX45" s="7">
        <v>447540</v>
      </c>
      <c r="AY45" s="7">
        <v>3227932</v>
      </c>
      <c r="AZ45" s="7">
        <v>515206</v>
      </c>
      <c r="BA45" s="7">
        <v>857416</v>
      </c>
      <c r="BB45" s="7">
        <v>1093440</v>
      </c>
      <c r="BC45" s="7">
        <v>717319</v>
      </c>
      <c r="BD45" s="7">
        <v>680854</v>
      </c>
      <c r="BE45" s="7">
        <v>1016150</v>
      </c>
      <c r="BF45" s="7">
        <v>897960</v>
      </c>
    </row>
    <row r="46" spans="1:58" ht="12" customHeight="1">
      <c r="L46" s="73">
        <v>3482.1689999999999</v>
      </c>
      <c r="M46" s="73">
        <v>843.58699999999999</v>
      </c>
      <c r="N46" s="73">
        <v>795.78</v>
      </c>
      <c r="O46" s="7">
        <v>1501.6379999999999</v>
      </c>
      <c r="P46" s="7">
        <v>639.63300000000004</v>
      </c>
      <c r="Q46" s="7">
        <v>694.11</v>
      </c>
      <c r="R46" s="7">
        <v>1236.4580000000001</v>
      </c>
      <c r="S46" s="7">
        <v>1891.701</v>
      </c>
      <c r="T46" s="7">
        <v>1281.2739999999999</v>
      </c>
      <c r="U46" s="7">
        <v>1251.6079999999999</v>
      </c>
      <c r="V46" s="7">
        <v>4749.1080000000002</v>
      </c>
      <c r="W46" s="7">
        <v>4009.06</v>
      </c>
      <c r="X46" s="7">
        <v>8850.2250000000004</v>
      </c>
      <c r="Y46" s="7">
        <v>5988.857</v>
      </c>
      <c r="Z46" s="7">
        <v>1441.2619999999999</v>
      </c>
      <c r="AA46" s="7">
        <v>662.072</v>
      </c>
      <c r="AB46" s="7">
        <v>725.95100000000002</v>
      </c>
      <c r="AC46" s="7">
        <v>485.40899999999999</v>
      </c>
      <c r="AD46" s="7">
        <v>531.45500000000004</v>
      </c>
      <c r="AE46" s="7">
        <v>1281.683</v>
      </c>
      <c r="AF46" s="7">
        <v>1282.8</v>
      </c>
      <c r="AG46" s="7">
        <v>2339.915</v>
      </c>
      <c r="AH46" s="7">
        <v>4791.4449999999997</v>
      </c>
      <c r="AI46" s="7">
        <v>1142.2750000000001</v>
      </c>
      <c r="AJ46" s="7">
        <v>897.58299999999997</v>
      </c>
      <c r="AK46" s="7">
        <v>1653.8119999999999</v>
      </c>
      <c r="AL46" s="7">
        <v>5648.07</v>
      </c>
      <c r="AM46" s="7">
        <v>3515.442</v>
      </c>
      <c r="AN46" s="7">
        <v>875.06200000000001</v>
      </c>
      <c r="AO46" s="7">
        <v>594.57299999999998</v>
      </c>
      <c r="AP46" s="7">
        <v>352.09800000000001</v>
      </c>
      <c r="AQ46" s="7">
        <v>414.15300000000002</v>
      </c>
      <c r="AR46" s="7">
        <v>1178.4929999999999</v>
      </c>
      <c r="AS46" s="7">
        <v>1765.0360000000001</v>
      </c>
      <c r="AT46" s="7">
        <v>857.95600000000002</v>
      </c>
      <c r="AU46" s="7">
        <v>471.78800000000001</v>
      </c>
      <c r="AV46" s="7">
        <v>595.45100000000002</v>
      </c>
      <c r="AW46" s="7">
        <v>858.99099999999999</v>
      </c>
      <c r="AX46" s="7">
        <v>447.54</v>
      </c>
      <c r="AY46" s="7">
        <v>3227.9319999999998</v>
      </c>
      <c r="AZ46" s="7">
        <v>515.20600000000002</v>
      </c>
      <c r="BA46" s="7">
        <v>857.41600000000005</v>
      </c>
      <c r="BB46" s="7">
        <v>1093.44</v>
      </c>
      <c r="BC46" s="7">
        <v>717.31899999999996</v>
      </c>
      <c r="BD46" s="7">
        <v>680.85400000000004</v>
      </c>
      <c r="BE46" s="7">
        <v>1016.15</v>
      </c>
      <c r="BF46" s="7">
        <v>897.96</v>
      </c>
    </row>
    <row r="47" spans="1:58" ht="12" customHeight="1">
      <c r="L47" s="73">
        <v>63.340390417599998</v>
      </c>
      <c r="M47" s="73">
        <v>61.656837429100001</v>
      </c>
      <c r="N47" s="73">
        <v>60.055151303800002</v>
      </c>
      <c r="O47" s="7">
        <v>64.430478758299998</v>
      </c>
      <c r="P47" s="7">
        <v>58.998896825499997</v>
      </c>
      <c r="Q47" s="7">
        <v>59.5500480014</v>
      </c>
      <c r="R47" s="7">
        <v>61.302503051599999</v>
      </c>
      <c r="S47" s="7">
        <v>63.986552582100003</v>
      </c>
      <c r="T47" s="7">
        <v>64.408510963400005</v>
      </c>
      <c r="U47" s="7">
        <v>62.663334923800001</v>
      </c>
      <c r="V47" s="7">
        <v>66.257661521900005</v>
      </c>
      <c r="W47" s="7">
        <v>65.413180272999995</v>
      </c>
      <c r="X47" s="7">
        <v>68.237031997399995</v>
      </c>
      <c r="Y47" s="7">
        <v>66.571681093500004</v>
      </c>
      <c r="Z47" s="7">
        <v>60.963040948600003</v>
      </c>
      <c r="AA47" s="7">
        <v>60.790186482499998</v>
      </c>
      <c r="AB47" s="7">
        <v>62.5511924734</v>
      </c>
      <c r="AC47" s="7">
        <v>60.786833019600003</v>
      </c>
      <c r="AD47" s="7">
        <v>61.914226099799997</v>
      </c>
      <c r="AE47" s="7">
        <v>59.704079607700002</v>
      </c>
      <c r="AF47" s="7">
        <v>61.912780587500002</v>
      </c>
      <c r="AG47" s="7">
        <v>62.509466921799998</v>
      </c>
      <c r="AH47" s="7">
        <v>65.200514806300006</v>
      </c>
      <c r="AI47" s="7">
        <v>61.994179811499997</v>
      </c>
      <c r="AJ47" s="7">
        <v>64.245049115200004</v>
      </c>
      <c r="AK47" s="7">
        <v>63.756141659599997</v>
      </c>
      <c r="AL47" s="7">
        <v>64.358003823600001</v>
      </c>
      <c r="AM47" s="7">
        <v>63.270559671599997</v>
      </c>
      <c r="AN47" s="7">
        <v>62.826684587199999</v>
      </c>
      <c r="AO47" s="7">
        <v>59.850879382800002</v>
      </c>
      <c r="AP47" s="7">
        <v>60.3255645809</v>
      </c>
      <c r="AQ47" s="7">
        <v>58.023394123300001</v>
      </c>
      <c r="AR47" s="7">
        <v>61.123126618199997</v>
      </c>
      <c r="AS47" s="7">
        <v>62.401706059699997</v>
      </c>
      <c r="AT47" s="7">
        <v>59.304388819000003</v>
      </c>
      <c r="AU47" s="7">
        <v>60.616977810900003</v>
      </c>
      <c r="AV47" s="7">
        <v>60.737622479800002</v>
      </c>
      <c r="AW47" s="7">
        <v>60.374932964800003</v>
      </c>
      <c r="AX47" s="7">
        <v>59.004385051299998</v>
      </c>
      <c r="AY47" s="7">
        <v>64.104370786900006</v>
      </c>
      <c r="AZ47" s="7">
        <v>60.845185527200002</v>
      </c>
      <c r="BA47" s="7">
        <v>60.375711024499999</v>
      </c>
      <c r="BB47" s="7">
        <v>60.534392729499999</v>
      </c>
      <c r="BC47" s="7">
        <v>60.293955718399999</v>
      </c>
      <c r="BD47" s="7">
        <v>60.212975008500003</v>
      </c>
      <c r="BE47" s="7">
        <v>59.8009323096</v>
      </c>
      <c r="BF47" s="7">
        <v>64.844957321699994</v>
      </c>
    </row>
    <row r="48" spans="1:58" ht="12" customHeight="1">
      <c r="L48" s="73">
        <v>1358068</v>
      </c>
      <c r="M48" s="73">
        <v>352768</v>
      </c>
      <c r="N48" s="73">
        <v>360498</v>
      </c>
      <c r="O48" s="7">
        <v>520794</v>
      </c>
      <c r="P48" s="7">
        <v>320450</v>
      </c>
      <c r="Q48" s="7">
        <v>321722</v>
      </c>
      <c r="R48" s="7">
        <v>504451</v>
      </c>
      <c r="S48" s="7">
        <v>665065</v>
      </c>
      <c r="T48" s="7">
        <v>438196</v>
      </c>
      <c r="U48" s="7">
        <v>470520</v>
      </c>
      <c r="V48" s="7">
        <v>1464860</v>
      </c>
      <c r="W48" s="7">
        <v>1320120</v>
      </c>
      <c r="X48" s="7">
        <v>2642231</v>
      </c>
      <c r="Y48" s="7">
        <v>1819503</v>
      </c>
      <c r="Z48" s="7">
        <v>621187</v>
      </c>
      <c r="AA48" s="7">
        <v>285102</v>
      </c>
      <c r="AB48" s="7">
        <v>275337</v>
      </c>
      <c r="AC48" s="7">
        <v>200942</v>
      </c>
      <c r="AD48" s="7">
        <v>211581</v>
      </c>
      <c r="AE48" s="7">
        <v>569301</v>
      </c>
      <c r="AF48" s="7">
        <v>499399</v>
      </c>
      <c r="AG48" s="7">
        <v>891807</v>
      </c>
      <c r="AH48" s="7">
        <v>1492085</v>
      </c>
      <c r="AI48" s="7">
        <v>447103</v>
      </c>
      <c r="AJ48" s="7">
        <v>288788</v>
      </c>
      <c r="AK48" s="7">
        <v>605709</v>
      </c>
      <c r="AL48" s="7">
        <v>1962748</v>
      </c>
      <c r="AM48" s="7">
        <v>1281486</v>
      </c>
      <c r="AN48" s="7">
        <v>333746</v>
      </c>
      <c r="AO48" s="7">
        <v>270846</v>
      </c>
      <c r="AP48" s="7">
        <v>153614</v>
      </c>
      <c r="AQ48" s="7">
        <v>207398</v>
      </c>
      <c r="AR48" s="7">
        <v>484718</v>
      </c>
      <c r="AS48" s="7">
        <v>676660</v>
      </c>
      <c r="AT48" s="7">
        <v>404694</v>
      </c>
      <c r="AU48" s="7">
        <v>209926</v>
      </c>
      <c r="AV48" s="7">
        <v>253245</v>
      </c>
      <c r="AW48" s="7">
        <v>378591</v>
      </c>
      <c r="AX48" s="7">
        <v>218148</v>
      </c>
      <c r="AY48" s="7">
        <v>1123376</v>
      </c>
      <c r="AZ48" s="7">
        <v>208096</v>
      </c>
      <c r="BA48" s="7">
        <v>369290</v>
      </c>
      <c r="BB48" s="7">
        <v>463266</v>
      </c>
      <c r="BC48" s="7">
        <v>316750</v>
      </c>
      <c r="BD48" s="7">
        <v>291301</v>
      </c>
      <c r="BE48" s="7">
        <v>449692</v>
      </c>
      <c r="BF48" s="7">
        <v>240507</v>
      </c>
    </row>
    <row r="49" spans="12:58" ht="12" customHeight="1">
      <c r="L49" s="73">
        <v>1358.068</v>
      </c>
      <c r="M49" s="73">
        <v>352.76799999999997</v>
      </c>
      <c r="N49" s="73">
        <v>360.49799999999999</v>
      </c>
      <c r="O49" s="7">
        <v>520.79399999999998</v>
      </c>
      <c r="P49" s="7">
        <v>320.45</v>
      </c>
      <c r="Q49" s="7">
        <v>321.72199999999998</v>
      </c>
      <c r="R49" s="7">
        <v>504.45100000000002</v>
      </c>
      <c r="S49" s="7">
        <v>665.06500000000005</v>
      </c>
      <c r="T49" s="7">
        <v>438.19600000000003</v>
      </c>
      <c r="U49" s="7">
        <v>470.52</v>
      </c>
      <c r="V49" s="7">
        <v>1464.86</v>
      </c>
      <c r="W49" s="7">
        <v>1320.12</v>
      </c>
      <c r="X49" s="7">
        <v>2642.2310000000002</v>
      </c>
      <c r="Y49" s="7">
        <v>1819.5029999999999</v>
      </c>
      <c r="Z49" s="7">
        <v>621.18700000000001</v>
      </c>
      <c r="AA49" s="7">
        <v>285.10199999999998</v>
      </c>
      <c r="AB49" s="7">
        <v>275.33699999999999</v>
      </c>
      <c r="AC49" s="7">
        <v>200.94200000000001</v>
      </c>
      <c r="AD49" s="7">
        <v>211.58099999999999</v>
      </c>
      <c r="AE49" s="7">
        <v>569.30100000000004</v>
      </c>
      <c r="AF49" s="7">
        <v>499.399</v>
      </c>
      <c r="AG49" s="7">
        <v>891.80700000000002</v>
      </c>
      <c r="AH49" s="7">
        <v>1492.085</v>
      </c>
      <c r="AI49" s="7">
        <v>447.10300000000001</v>
      </c>
      <c r="AJ49" s="7">
        <v>288.78800000000001</v>
      </c>
      <c r="AK49" s="7">
        <v>605.70899999999995</v>
      </c>
      <c r="AL49" s="7">
        <v>1962.748</v>
      </c>
      <c r="AM49" s="7">
        <v>1281.4860000000001</v>
      </c>
      <c r="AN49" s="7">
        <v>333.74599999999998</v>
      </c>
      <c r="AO49" s="7">
        <v>270.846</v>
      </c>
      <c r="AP49" s="7">
        <v>153.614</v>
      </c>
      <c r="AQ49" s="7">
        <v>207.398</v>
      </c>
      <c r="AR49" s="7">
        <v>484.71800000000002</v>
      </c>
      <c r="AS49" s="7">
        <v>676.66</v>
      </c>
      <c r="AT49" s="7">
        <v>404.69400000000002</v>
      </c>
      <c r="AU49" s="7">
        <v>209.92599999999999</v>
      </c>
      <c r="AV49" s="7">
        <v>253.245</v>
      </c>
      <c r="AW49" s="7">
        <v>378.59100000000001</v>
      </c>
      <c r="AX49" s="7">
        <v>218.148</v>
      </c>
      <c r="AY49" s="7">
        <v>1123.376</v>
      </c>
      <c r="AZ49" s="7">
        <v>208.096</v>
      </c>
      <c r="BA49" s="7">
        <v>369.29</v>
      </c>
      <c r="BB49" s="7">
        <v>463.26600000000002</v>
      </c>
      <c r="BC49" s="7">
        <v>316.75</v>
      </c>
      <c r="BD49" s="7">
        <v>291.30099999999999</v>
      </c>
      <c r="BE49" s="7">
        <v>449.69200000000001</v>
      </c>
      <c r="BF49" s="7">
        <v>240.50700000000001</v>
      </c>
    </row>
    <row r="50" spans="12:58" ht="12" customHeight="1">
      <c r="L50" s="73">
        <v>24.703154078299999</v>
      </c>
      <c r="M50" s="73">
        <v>25.783421539399999</v>
      </c>
      <c r="N50" s="73">
        <v>27.2057125521</v>
      </c>
      <c r="O50" s="7">
        <v>22.345603104399999</v>
      </c>
      <c r="P50" s="7">
        <v>29.557881609799999</v>
      </c>
      <c r="Q50" s="7">
        <v>27.601620122300002</v>
      </c>
      <c r="R50" s="7">
        <v>25.0102380889</v>
      </c>
      <c r="S50" s="7">
        <v>22.495741448099999</v>
      </c>
      <c r="T50" s="7">
        <v>22.027725428099998</v>
      </c>
      <c r="U50" s="7">
        <v>23.557177925000001</v>
      </c>
      <c r="V50" s="7">
        <v>20.437142734399998</v>
      </c>
      <c r="W50" s="7">
        <v>21.539524861699999</v>
      </c>
      <c r="X50" s="7">
        <v>20.372137577499998</v>
      </c>
      <c r="Y50" s="7">
        <v>20.225457623200001</v>
      </c>
      <c r="Z50" s="7">
        <v>26.275200843299999</v>
      </c>
      <c r="AA50" s="7">
        <v>26.177521095199999</v>
      </c>
      <c r="AB50" s="7">
        <v>23.7242702084</v>
      </c>
      <c r="AC50" s="7">
        <v>25.163579168599998</v>
      </c>
      <c r="AD50" s="7">
        <v>24.649074469999999</v>
      </c>
      <c r="AE50" s="7">
        <v>26.5194999269</v>
      </c>
      <c r="AF50" s="7">
        <v>24.102884871099999</v>
      </c>
      <c r="AG50" s="7">
        <v>23.8241047932</v>
      </c>
      <c r="AH50" s="7">
        <v>20.303835301199999</v>
      </c>
      <c r="AI50" s="7">
        <v>24.265421003</v>
      </c>
      <c r="AJ50" s="7">
        <v>20.6701767345</v>
      </c>
      <c r="AK50" s="7">
        <v>23.350700568400001</v>
      </c>
      <c r="AL50" s="7">
        <v>22.364903991799999</v>
      </c>
      <c r="AM50" s="7">
        <v>23.064051812300001</v>
      </c>
      <c r="AN50" s="7">
        <v>23.961907469700002</v>
      </c>
      <c r="AO50" s="7">
        <v>27.263887322999999</v>
      </c>
      <c r="AP50" s="7">
        <v>26.318954602200002</v>
      </c>
      <c r="AQ50" s="7">
        <v>29.056739645499999</v>
      </c>
      <c r="AR50" s="7">
        <v>25.1401405762</v>
      </c>
      <c r="AS50" s="7">
        <v>23.9228765999</v>
      </c>
      <c r="AT50" s="7">
        <v>27.9736144146</v>
      </c>
      <c r="AU50" s="7">
        <v>26.972029140099998</v>
      </c>
      <c r="AV50" s="7">
        <v>25.831679189199999</v>
      </c>
      <c r="AW50" s="7">
        <v>26.609599222899998</v>
      </c>
      <c r="AX50" s="7">
        <v>28.760979108400001</v>
      </c>
      <c r="AY50" s="7">
        <v>22.309426480199999</v>
      </c>
      <c r="AZ50" s="7">
        <v>24.5758778575</v>
      </c>
      <c r="BA50" s="7">
        <v>26.003884140499999</v>
      </c>
      <c r="BB50" s="7">
        <v>25.647064294500002</v>
      </c>
      <c r="BC50" s="7">
        <v>26.624291945100001</v>
      </c>
      <c r="BD50" s="7">
        <v>25.761910531400002</v>
      </c>
      <c r="BE50" s="7">
        <v>26.464597600899999</v>
      </c>
      <c r="BF50" s="7">
        <v>17.367885151399999</v>
      </c>
    </row>
    <row r="51" spans="12:58" ht="12" customHeight="1"/>
    <row r="52" spans="12:58" ht="12" customHeight="1">
      <c r="L52" s="73">
        <v>657312</v>
      </c>
      <c r="M52" s="73">
        <v>657.31200000000001</v>
      </c>
      <c r="N52" s="73">
        <v>11.956455504099999</v>
      </c>
      <c r="O52" s="73">
        <v>3482169</v>
      </c>
      <c r="P52" s="73">
        <v>3482.1689999999999</v>
      </c>
      <c r="Q52" s="73">
        <v>63.340390417599998</v>
      </c>
      <c r="R52" s="73">
        <v>1358068</v>
      </c>
      <c r="S52" s="73">
        <v>1358.068</v>
      </c>
      <c r="T52" s="73">
        <v>24.703154078299999</v>
      </c>
    </row>
    <row r="53" spans="12:58" ht="12" customHeight="1">
      <c r="L53" s="73">
        <v>171842</v>
      </c>
      <c r="M53" s="73">
        <v>171.84200000000001</v>
      </c>
      <c r="N53" s="73">
        <v>12.5597410314</v>
      </c>
      <c r="O53" s="73">
        <v>843587</v>
      </c>
      <c r="P53" s="73">
        <v>843.58699999999999</v>
      </c>
      <c r="Q53" s="73">
        <v>61.656837429100001</v>
      </c>
      <c r="R53" s="73">
        <v>352768</v>
      </c>
      <c r="S53" s="73">
        <v>352.76799999999997</v>
      </c>
      <c r="T53" s="73">
        <v>25.783421539399999</v>
      </c>
    </row>
    <row r="54" spans="12:58" ht="12" customHeight="1">
      <c r="L54" s="73">
        <v>168804</v>
      </c>
      <c r="M54" s="73">
        <v>168.804</v>
      </c>
      <c r="N54" s="73">
        <v>12.739136144</v>
      </c>
      <c r="O54" s="73">
        <v>795780</v>
      </c>
      <c r="P54" s="73">
        <v>795.78</v>
      </c>
      <c r="Q54" s="73">
        <v>60.055151303800002</v>
      </c>
      <c r="R54" s="73">
        <v>360498</v>
      </c>
      <c r="S54" s="73">
        <v>360.49799999999999</v>
      </c>
      <c r="T54" s="73">
        <v>27.2057125521</v>
      </c>
    </row>
    <row r="55" spans="12:58" ht="12" customHeight="1">
      <c r="L55" s="7">
        <v>308201</v>
      </c>
      <c r="M55" s="7">
        <v>308.20100000000002</v>
      </c>
      <c r="N55" s="7">
        <v>13.2239181373</v>
      </c>
      <c r="O55" s="7">
        <v>1501638</v>
      </c>
      <c r="P55" s="7">
        <v>1501.6379999999999</v>
      </c>
      <c r="Q55" s="7">
        <v>64.430478758299998</v>
      </c>
      <c r="R55" s="7">
        <v>520794</v>
      </c>
      <c r="S55" s="7">
        <v>520.79399999999998</v>
      </c>
      <c r="T55" s="7">
        <v>22.345603104399999</v>
      </c>
    </row>
    <row r="56" spans="12:58" ht="12" customHeight="1">
      <c r="L56" s="7">
        <v>124061</v>
      </c>
      <c r="M56" s="7">
        <v>124.06100000000001</v>
      </c>
      <c r="N56" s="7">
        <v>11.4432215647</v>
      </c>
      <c r="O56" s="7">
        <v>639633</v>
      </c>
      <c r="P56" s="7">
        <v>639.63300000000004</v>
      </c>
      <c r="Q56" s="7">
        <v>58.998896825499997</v>
      </c>
      <c r="R56" s="7">
        <v>320450</v>
      </c>
      <c r="S56" s="7">
        <v>320.45</v>
      </c>
      <c r="T56" s="7">
        <v>29.557881609799999</v>
      </c>
    </row>
    <row r="57" spans="12:58" ht="12" customHeight="1">
      <c r="L57" s="7">
        <v>149759</v>
      </c>
      <c r="M57" s="7">
        <v>149.75899999999999</v>
      </c>
      <c r="N57" s="7">
        <v>12.8483318763</v>
      </c>
      <c r="O57" s="7">
        <v>694110</v>
      </c>
      <c r="P57" s="7">
        <v>694.11</v>
      </c>
      <c r="Q57" s="7">
        <v>59.5500480014</v>
      </c>
      <c r="R57" s="7">
        <v>321722</v>
      </c>
      <c r="S57" s="7">
        <v>321.72199999999998</v>
      </c>
      <c r="T57" s="7">
        <v>27.601620122300002</v>
      </c>
    </row>
    <row r="58" spans="12:58" ht="12" customHeight="1">
      <c r="L58" s="7">
        <v>276069</v>
      </c>
      <c r="M58" s="7">
        <v>276.06900000000002</v>
      </c>
      <c r="N58" s="7">
        <v>13.6872588595</v>
      </c>
      <c r="O58" s="7">
        <v>1236458</v>
      </c>
      <c r="P58" s="7">
        <v>1236.4580000000001</v>
      </c>
      <c r="Q58" s="7">
        <v>61.302503051599999</v>
      </c>
      <c r="R58" s="7">
        <v>504451</v>
      </c>
      <c r="S58" s="7">
        <v>504.45100000000002</v>
      </c>
      <c r="T58" s="7">
        <v>25.0102380889</v>
      </c>
    </row>
    <row r="59" spans="12:58" ht="12" customHeight="1">
      <c r="L59" s="7">
        <v>399638</v>
      </c>
      <c r="M59" s="7">
        <v>399.63799999999998</v>
      </c>
      <c r="N59" s="7">
        <v>13.5177059698</v>
      </c>
      <c r="O59" s="7">
        <v>1891701</v>
      </c>
      <c r="P59" s="7">
        <v>1891.701</v>
      </c>
      <c r="Q59" s="7">
        <v>63.986552582100003</v>
      </c>
      <c r="R59" s="7">
        <v>665065</v>
      </c>
      <c r="S59" s="7">
        <v>665.06500000000005</v>
      </c>
      <c r="T59" s="7">
        <v>22.495741448099999</v>
      </c>
    </row>
    <row r="60" spans="12:58" ht="12" customHeight="1">
      <c r="L60" s="7">
        <v>269823</v>
      </c>
      <c r="M60" s="7">
        <v>269.82299999999998</v>
      </c>
      <c r="N60" s="7">
        <v>13.5637636085</v>
      </c>
      <c r="O60" s="7">
        <v>1281274</v>
      </c>
      <c r="P60" s="7">
        <v>1281.2739999999999</v>
      </c>
      <c r="Q60" s="7">
        <v>64.408510963400005</v>
      </c>
      <c r="R60" s="7">
        <v>438196</v>
      </c>
      <c r="S60" s="7">
        <v>438.19600000000003</v>
      </c>
      <c r="T60" s="7">
        <v>22.027725428099998</v>
      </c>
    </row>
    <row r="61" spans="12:58" ht="12" customHeight="1">
      <c r="L61" s="7">
        <v>275225</v>
      </c>
      <c r="M61" s="7">
        <v>275.22500000000002</v>
      </c>
      <c r="N61" s="7">
        <v>13.7794871512</v>
      </c>
      <c r="O61" s="7">
        <v>1251608</v>
      </c>
      <c r="P61" s="7">
        <v>1251.6079999999999</v>
      </c>
      <c r="Q61" s="7">
        <v>62.663334923800001</v>
      </c>
      <c r="R61" s="7">
        <v>470520</v>
      </c>
      <c r="S61" s="7">
        <v>470.52</v>
      </c>
      <c r="T61" s="7">
        <v>23.557177925000001</v>
      </c>
    </row>
    <row r="62" spans="12:58" ht="12" customHeight="1">
      <c r="L62" s="7">
        <v>953668</v>
      </c>
      <c r="M62" s="7">
        <v>953.66800000000001</v>
      </c>
      <c r="N62" s="7">
        <v>13.305195743800001</v>
      </c>
      <c r="O62" s="7">
        <v>4749108</v>
      </c>
      <c r="P62" s="7">
        <v>4749.1080000000002</v>
      </c>
      <c r="Q62" s="7">
        <v>66.257661521900005</v>
      </c>
      <c r="R62" s="7">
        <v>1464860</v>
      </c>
      <c r="S62" s="7">
        <v>1464.86</v>
      </c>
      <c r="T62" s="7">
        <v>20.437142734399998</v>
      </c>
    </row>
    <row r="63" spans="12:58" ht="12" customHeight="1">
      <c r="L63" s="7">
        <v>799646</v>
      </c>
      <c r="M63" s="7">
        <v>799.64599999999996</v>
      </c>
      <c r="N63" s="7">
        <v>13.0472948653</v>
      </c>
      <c r="O63" s="7">
        <v>4009060</v>
      </c>
      <c r="P63" s="7">
        <v>4009.06</v>
      </c>
      <c r="Q63" s="7">
        <v>65.413180272999995</v>
      </c>
      <c r="R63" s="7">
        <v>1320120</v>
      </c>
      <c r="S63" s="7">
        <v>1320.12</v>
      </c>
      <c r="T63" s="7">
        <v>21.539524861699999</v>
      </c>
    </row>
    <row r="64" spans="12:58" ht="12" customHeight="1">
      <c r="L64" s="7">
        <v>1477371</v>
      </c>
      <c r="M64" s="7">
        <v>1477.3710000000001</v>
      </c>
      <c r="N64" s="7">
        <v>11.390830425100001</v>
      </c>
      <c r="O64" s="7">
        <v>8850225</v>
      </c>
      <c r="P64" s="7">
        <v>8850.2250000000004</v>
      </c>
      <c r="Q64" s="7">
        <v>68.237031997399995</v>
      </c>
      <c r="R64" s="7">
        <v>2642231</v>
      </c>
      <c r="S64" s="7">
        <v>2642.2310000000002</v>
      </c>
      <c r="T64" s="7">
        <v>20.372137577499998</v>
      </c>
    </row>
    <row r="65" spans="12:20" ht="12" customHeight="1">
      <c r="L65" s="7">
        <v>1187743</v>
      </c>
      <c r="M65" s="7">
        <v>1187.7429999999999</v>
      </c>
      <c r="N65" s="7">
        <v>13.202861283400001</v>
      </c>
      <c r="O65" s="7">
        <v>5988857</v>
      </c>
      <c r="P65" s="7">
        <v>5988.857</v>
      </c>
      <c r="Q65" s="7">
        <v>66.571681093500004</v>
      </c>
      <c r="R65" s="7">
        <v>1819503</v>
      </c>
      <c r="S65" s="7">
        <v>1819.5029999999999</v>
      </c>
      <c r="T65" s="7">
        <v>20.225457623200001</v>
      </c>
    </row>
    <row r="66" spans="12:20" ht="12" customHeight="1">
      <c r="L66" s="7">
        <v>301708</v>
      </c>
      <c r="M66" s="7">
        <v>301.70800000000003</v>
      </c>
      <c r="N66" s="7">
        <v>12.7617582081</v>
      </c>
      <c r="O66" s="7">
        <v>1441262</v>
      </c>
      <c r="P66" s="7">
        <v>1441.2619999999999</v>
      </c>
      <c r="Q66" s="7">
        <v>60.963040948600003</v>
      </c>
      <c r="R66" s="7">
        <v>621187</v>
      </c>
      <c r="S66" s="7">
        <v>621.18700000000001</v>
      </c>
      <c r="T66" s="7">
        <v>26.275200843299999</v>
      </c>
    </row>
    <row r="67" spans="12:20" ht="12" customHeight="1">
      <c r="L67" s="7">
        <v>141936</v>
      </c>
      <c r="M67" s="7">
        <v>141.93600000000001</v>
      </c>
      <c r="N67" s="7">
        <v>13.032292422299999</v>
      </c>
      <c r="O67" s="7">
        <v>662072</v>
      </c>
      <c r="P67" s="7">
        <v>662.072</v>
      </c>
      <c r="Q67" s="7">
        <v>60.790186482499998</v>
      </c>
      <c r="R67" s="7">
        <v>285102</v>
      </c>
      <c r="S67" s="7">
        <v>285.10199999999998</v>
      </c>
      <c r="T67" s="7">
        <v>26.177521095199999</v>
      </c>
    </row>
    <row r="68" spans="12:20" ht="12" customHeight="1">
      <c r="L68" s="7">
        <v>159283</v>
      </c>
      <c r="M68" s="7">
        <v>159.28299999999999</v>
      </c>
      <c r="N68" s="7">
        <v>13.724537318299999</v>
      </c>
      <c r="O68" s="7">
        <v>725951</v>
      </c>
      <c r="P68" s="7">
        <v>725.95100000000002</v>
      </c>
      <c r="Q68" s="7">
        <v>62.5511924734</v>
      </c>
      <c r="R68" s="7">
        <v>275337</v>
      </c>
      <c r="S68" s="7">
        <v>275.33699999999999</v>
      </c>
      <c r="T68" s="7">
        <v>23.7242702084</v>
      </c>
    </row>
    <row r="69" spans="12:20" ht="12" customHeight="1">
      <c r="L69" s="7">
        <v>112192</v>
      </c>
      <c r="M69" s="7">
        <v>112.19199999999999</v>
      </c>
      <c r="N69" s="7">
        <v>14.0495878118</v>
      </c>
      <c r="O69" s="7">
        <v>485409</v>
      </c>
      <c r="P69" s="7">
        <v>485.40899999999999</v>
      </c>
      <c r="Q69" s="7">
        <v>60.786833019600003</v>
      </c>
      <c r="R69" s="7">
        <v>200942</v>
      </c>
      <c r="S69" s="7">
        <v>200.94200000000001</v>
      </c>
      <c r="T69" s="7">
        <v>25.163579168599998</v>
      </c>
    </row>
    <row r="70" spans="12:20" ht="12" customHeight="1">
      <c r="L70" s="7">
        <v>115337</v>
      </c>
      <c r="M70" s="7">
        <v>115.337</v>
      </c>
      <c r="N70" s="7">
        <v>13.436699430199999</v>
      </c>
      <c r="O70" s="7">
        <v>531455</v>
      </c>
      <c r="P70" s="7">
        <v>531.45500000000004</v>
      </c>
      <c r="Q70" s="7">
        <v>61.914226099799997</v>
      </c>
      <c r="R70" s="7">
        <v>211581</v>
      </c>
      <c r="S70" s="7">
        <v>211.58099999999999</v>
      </c>
      <c r="T70" s="7">
        <v>24.649074469999999</v>
      </c>
    </row>
    <row r="71" spans="12:20" ht="12" customHeight="1">
      <c r="L71" s="7">
        <v>295742</v>
      </c>
      <c r="M71" s="7">
        <v>295.74200000000002</v>
      </c>
      <c r="N71" s="7">
        <v>13.776420465399999</v>
      </c>
      <c r="O71" s="7">
        <v>1281683</v>
      </c>
      <c r="P71" s="7">
        <v>1281.683</v>
      </c>
      <c r="Q71" s="7">
        <v>59.704079607700002</v>
      </c>
      <c r="R71" s="7">
        <v>569301</v>
      </c>
      <c r="S71" s="7">
        <v>569.30100000000004</v>
      </c>
      <c r="T71" s="7">
        <v>26.5194999269</v>
      </c>
    </row>
    <row r="72" spans="12:20" ht="12" customHeight="1">
      <c r="L72" s="7">
        <v>289748</v>
      </c>
      <c r="M72" s="7">
        <v>289.74799999999999</v>
      </c>
      <c r="N72" s="7">
        <v>13.984334541400001</v>
      </c>
      <c r="O72" s="7">
        <v>1282800</v>
      </c>
      <c r="P72" s="7">
        <v>1282.8</v>
      </c>
      <c r="Q72" s="7">
        <v>61.912780587500002</v>
      </c>
      <c r="R72" s="7">
        <v>499399</v>
      </c>
      <c r="S72" s="7">
        <v>499.399</v>
      </c>
      <c r="T72" s="7">
        <v>24.102884871099999</v>
      </c>
    </row>
    <row r="73" spans="12:20" ht="12" customHeight="1">
      <c r="L73" s="7">
        <v>511575</v>
      </c>
      <c r="M73" s="7">
        <v>511.57499999999999</v>
      </c>
      <c r="N73" s="7">
        <v>13.666428285</v>
      </c>
      <c r="O73" s="7">
        <v>2339915</v>
      </c>
      <c r="P73" s="7">
        <v>2339.915</v>
      </c>
      <c r="Q73" s="7">
        <v>62.509466921799998</v>
      </c>
      <c r="R73" s="7">
        <v>891807</v>
      </c>
      <c r="S73" s="7">
        <v>891.80700000000002</v>
      </c>
      <c r="T73" s="7">
        <v>23.8241047932</v>
      </c>
    </row>
    <row r="74" spans="12:20" ht="12" customHeight="1">
      <c r="L74" s="7">
        <v>1065254</v>
      </c>
      <c r="M74" s="7">
        <v>1065.2539999999999</v>
      </c>
      <c r="N74" s="7">
        <v>14.495649892599999</v>
      </c>
      <c r="O74" s="7">
        <v>4791445</v>
      </c>
      <c r="P74" s="7">
        <v>4791.4449999999997</v>
      </c>
      <c r="Q74" s="7">
        <v>65.200514806300006</v>
      </c>
      <c r="R74" s="7">
        <v>1492085</v>
      </c>
      <c r="S74" s="7">
        <v>1492.085</v>
      </c>
      <c r="T74" s="7">
        <v>20.303835301199999</v>
      </c>
    </row>
    <row r="75" spans="12:20" ht="12" customHeight="1">
      <c r="L75" s="7">
        <v>253174</v>
      </c>
      <c r="M75" s="7">
        <v>253.17400000000001</v>
      </c>
      <c r="N75" s="7">
        <v>13.740399185499999</v>
      </c>
      <c r="O75" s="7">
        <v>1142275</v>
      </c>
      <c r="P75" s="7">
        <v>1142.2750000000001</v>
      </c>
      <c r="Q75" s="7">
        <v>61.994179811499997</v>
      </c>
      <c r="R75" s="7">
        <v>447103</v>
      </c>
      <c r="S75" s="7">
        <v>447.10300000000001</v>
      </c>
      <c r="T75" s="7">
        <v>24.265421003</v>
      </c>
    </row>
    <row r="76" spans="12:20" ht="12" customHeight="1">
      <c r="L76" s="7">
        <v>210753</v>
      </c>
      <c r="M76" s="7">
        <v>210.75299999999999</v>
      </c>
      <c r="N76" s="7">
        <v>15.084774150299999</v>
      </c>
      <c r="O76" s="7">
        <v>897583</v>
      </c>
      <c r="P76" s="7">
        <v>897.58299999999997</v>
      </c>
      <c r="Q76" s="7">
        <v>64.245049115200004</v>
      </c>
      <c r="R76" s="7">
        <v>288788</v>
      </c>
      <c r="S76" s="7">
        <v>288.78800000000001</v>
      </c>
      <c r="T76" s="7">
        <v>20.6701767345</v>
      </c>
    </row>
    <row r="77" spans="12:20" ht="12" customHeight="1">
      <c r="L77" s="7">
        <v>334444</v>
      </c>
      <c r="M77" s="7">
        <v>334.44400000000002</v>
      </c>
      <c r="N77" s="7">
        <v>12.893157772</v>
      </c>
      <c r="O77" s="7">
        <v>1653812</v>
      </c>
      <c r="P77" s="7">
        <v>1653.8119999999999</v>
      </c>
      <c r="Q77" s="7">
        <v>63.756141659599997</v>
      </c>
      <c r="R77" s="7">
        <v>605709</v>
      </c>
      <c r="S77" s="7">
        <v>605.70899999999995</v>
      </c>
      <c r="T77" s="7">
        <v>23.350700568400001</v>
      </c>
    </row>
    <row r="78" spans="12:20" ht="12" customHeight="1">
      <c r="L78" s="7">
        <v>1165200</v>
      </c>
      <c r="M78" s="7">
        <v>1165.2</v>
      </c>
      <c r="N78" s="7">
        <v>13.277092184600001</v>
      </c>
      <c r="O78" s="7">
        <v>5648070</v>
      </c>
      <c r="P78" s="7">
        <v>5648.07</v>
      </c>
      <c r="Q78" s="7">
        <v>64.358003823600001</v>
      </c>
      <c r="R78" s="7">
        <v>1962748</v>
      </c>
      <c r="S78" s="7">
        <v>1962.748</v>
      </c>
      <c r="T78" s="7">
        <v>22.364903991799999</v>
      </c>
    </row>
    <row r="79" spans="12:20" ht="12" customHeight="1">
      <c r="L79" s="7">
        <v>759277</v>
      </c>
      <c r="M79" s="7">
        <v>759.27700000000004</v>
      </c>
      <c r="N79" s="7">
        <v>13.6653885161</v>
      </c>
      <c r="O79" s="7">
        <v>3515442</v>
      </c>
      <c r="P79" s="7">
        <v>3515.442</v>
      </c>
      <c r="Q79" s="7">
        <v>63.270559671599997</v>
      </c>
      <c r="R79" s="7">
        <v>1281486</v>
      </c>
      <c r="S79" s="7">
        <v>1281.4860000000001</v>
      </c>
      <c r="T79" s="7">
        <v>23.064051812300001</v>
      </c>
    </row>
    <row r="80" spans="12:20" ht="12" customHeight="1">
      <c r="L80" s="7">
        <v>184011</v>
      </c>
      <c r="M80" s="7">
        <v>184.011</v>
      </c>
      <c r="N80" s="7">
        <v>13.211407943199999</v>
      </c>
      <c r="O80" s="7">
        <v>875062</v>
      </c>
      <c r="P80" s="7">
        <v>875.06200000000001</v>
      </c>
      <c r="Q80" s="7">
        <v>62.826684587199999</v>
      </c>
      <c r="R80" s="7">
        <v>333746</v>
      </c>
      <c r="S80" s="7">
        <v>333.74599999999998</v>
      </c>
      <c r="T80" s="7">
        <v>23.961907469700002</v>
      </c>
    </row>
    <row r="81" spans="11:20" ht="12" customHeight="1">
      <c r="L81" s="7">
        <v>128005</v>
      </c>
      <c r="M81" s="7">
        <v>128.005</v>
      </c>
      <c r="N81" s="7">
        <v>12.885233294100001</v>
      </c>
      <c r="O81" s="7">
        <v>594573</v>
      </c>
      <c r="P81" s="7">
        <v>594.57299999999998</v>
      </c>
      <c r="Q81" s="7">
        <v>59.850879382800002</v>
      </c>
      <c r="R81" s="7">
        <v>270846</v>
      </c>
      <c r="S81" s="7">
        <v>270.846</v>
      </c>
      <c r="T81" s="7">
        <v>27.263887322999999</v>
      </c>
    </row>
    <row r="82" spans="11:20" ht="12" customHeight="1">
      <c r="L82" s="7">
        <v>77951</v>
      </c>
      <c r="M82" s="7">
        <v>77.950999999999993</v>
      </c>
      <c r="N82" s="7">
        <v>13.3554808168</v>
      </c>
      <c r="O82" s="7">
        <v>352098</v>
      </c>
      <c r="P82" s="7">
        <v>352.09800000000001</v>
      </c>
      <c r="Q82" s="7">
        <v>60.3255645809</v>
      </c>
      <c r="R82" s="7">
        <v>153614</v>
      </c>
      <c r="S82" s="7">
        <v>153.614</v>
      </c>
      <c r="T82" s="7">
        <v>26.318954602200002</v>
      </c>
    </row>
    <row r="83" spans="11:20" ht="12" customHeight="1">
      <c r="L83" s="7">
        <v>92218</v>
      </c>
      <c r="M83" s="7">
        <v>92.218000000000004</v>
      </c>
      <c r="N83" s="7">
        <v>12.9198662312</v>
      </c>
      <c r="O83" s="7">
        <v>414153</v>
      </c>
      <c r="P83" s="7">
        <v>414.15300000000002</v>
      </c>
      <c r="Q83" s="7">
        <v>58.023394123300001</v>
      </c>
      <c r="R83" s="7">
        <v>207398</v>
      </c>
      <c r="S83" s="7">
        <v>207.398</v>
      </c>
      <c r="T83" s="7">
        <v>29.056739645499999</v>
      </c>
    </row>
    <row r="84" spans="11:20" ht="12" customHeight="1">
      <c r="L84" s="7">
        <v>264853</v>
      </c>
      <c r="M84" s="7">
        <v>264.85300000000001</v>
      </c>
      <c r="N84" s="7">
        <v>13.736732805600001</v>
      </c>
      <c r="O84" s="7">
        <v>1178493</v>
      </c>
      <c r="P84" s="7">
        <v>1178.4929999999999</v>
      </c>
      <c r="Q84" s="7">
        <v>61.123126618199997</v>
      </c>
      <c r="R84" s="7">
        <v>484718</v>
      </c>
      <c r="S84" s="7">
        <v>484.71800000000002</v>
      </c>
      <c r="T84" s="7">
        <v>25.1401405762</v>
      </c>
    </row>
    <row r="85" spans="11:20" ht="12" customHeight="1">
      <c r="L85" s="7">
        <v>386810</v>
      </c>
      <c r="M85" s="7">
        <v>386.81</v>
      </c>
      <c r="N85" s="7">
        <v>13.675417340499999</v>
      </c>
      <c r="O85" s="7">
        <v>1765036</v>
      </c>
      <c r="P85" s="7">
        <v>1765.0360000000001</v>
      </c>
      <c r="Q85" s="7">
        <v>62.401706059699997</v>
      </c>
      <c r="R85" s="7">
        <v>676660</v>
      </c>
      <c r="S85" s="7">
        <v>676.66</v>
      </c>
      <c r="T85" s="7">
        <v>23.9228765999</v>
      </c>
    </row>
    <row r="86" spans="11:20" ht="12" customHeight="1">
      <c r="L86" s="7">
        <v>184049</v>
      </c>
      <c r="M86" s="7">
        <v>184.04900000000001</v>
      </c>
      <c r="N86" s="7">
        <v>12.7219967664</v>
      </c>
      <c r="O86" s="7">
        <v>857956</v>
      </c>
      <c r="P86" s="7">
        <v>857.95600000000002</v>
      </c>
      <c r="Q86" s="7">
        <v>59.304388819000003</v>
      </c>
      <c r="R86" s="7">
        <v>404694</v>
      </c>
      <c r="S86" s="7">
        <v>404.69400000000002</v>
      </c>
      <c r="T86" s="7">
        <v>27.9736144146</v>
      </c>
    </row>
    <row r="87" spans="11:20" ht="12" customHeight="1">
      <c r="L87" s="7">
        <v>96596</v>
      </c>
      <c r="M87" s="7">
        <v>96.596000000000004</v>
      </c>
      <c r="N87" s="7">
        <v>12.410993049</v>
      </c>
      <c r="O87" s="7">
        <v>471788</v>
      </c>
      <c r="P87" s="7">
        <v>471.78800000000001</v>
      </c>
      <c r="Q87" s="7">
        <v>60.616977810900003</v>
      </c>
      <c r="R87" s="7">
        <v>209926</v>
      </c>
      <c r="S87" s="7">
        <v>209.92599999999999</v>
      </c>
      <c r="T87" s="7">
        <v>26.972029140099998</v>
      </c>
    </row>
    <row r="88" spans="11:20" ht="12" customHeight="1">
      <c r="L88" s="7">
        <v>131670</v>
      </c>
      <c r="M88" s="7">
        <v>131.66999999999999</v>
      </c>
      <c r="N88" s="7">
        <v>13.430698331</v>
      </c>
      <c r="O88" s="7">
        <v>595451</v>
      </c>
      <c r="P88" s="7">
        <v>595.45100000000002</v>
      </c>
      <c r="Q88" s="7">
        <v>60.737622479800002</v>
      </c>
      <c r="R88" s="7">
        <v>253245</v>
      </c>
      <c r="S88" s="7">
        <v>253.245</v>
      </c>
      <c r="T88" s="7">
        <v>25.831679189199999</v>
      </c>
    </row>
    <row r="89" spans="11:20" ht="12" customHeight="1">
      <c r="L89" s="7">
        <v>185179</v>
      </c>
      <c r="M89" s="7">
        <v>185.179</v>
      </c>
      <c r="N89" s="7">
        <v>13.015467812200001</v>
      </c>
      <c r="O89" s="7">
        <v>858991</v>
      </c>
      <c r="P89" s="7">
        <v>858.99099999999999</v>
      </c>
      <c r="Q89" s="7">
        <v>60.374932964800003</v>
      </c>
      <c r="R89" s="7">
        <v>378591</v>
      </c>
      <c r="S89" s="7">
        <v>378.59100000000001</v>
      </c>
      <c r="T89" s="7">
        <v>26.609599222899998</v>
      </c>
    </row>
    <row r="90" spans="11:20" ht="12" customHeight="1">
      <c r="L90" s="7">
        <v>92798</v>
      </c>
      <c r="M90" s="7">
        <v>92.798000000000002</v>
      </c>
      <c r="N90" s="7">
        <v>12.234635840299999</v>
      </c>
      <c r="O90" s="7">
        <v>447540</v>
      </c>
      <c r="P90" s="7">
        <v>447.54</v>
      </c>
      <c r="Q90" s="7">
        <v>59.004385051299998</v>
      </c>
      <c r="R90" s="7">
        <v>218148</v>
      </c>
      <c r="S90" s="7">
        <v>218.148</v>
      </c>
      <c r="T90" s="7">
        <v>28.760979108400001</v>
      </c>
    </row>
    <row r="91" spans="11:20" ht="12" customHeight="1">
      <c r="L91" s="7">
        <v>684124</v>
      </c>
      <c r="M91" s="7">
        <v>684.12400000000002</v>
      </c>
      <c r="N91" s="7">
        <v>13.586202733</v>
      </c>
      <c r="O91" s="7">
        <v>3227932</v>
      </c>
      <c r="P91" s="7">
        <v>3227.9319999999998</v>
      </c>
      <c r="Q91" s="7">
        <v>64.104370786900006</v>
      </c>
      <c r="R91" s="7">
        <v>1123376</v>
      </c>
      <c r="S91" s="7">
        <v>1123.376</v>
      </c>
      <c r="T91" s="7">
        <v>22.309426480199999</v>
      </c>
    </row>
    <row r="92" spans="11:20" ht="12" customHeight="1">
      <c r="L92" s="7">
        <v>123447</v>
      </c>
      <c r="M92" s="7">
        <v>123.447</v>
      </c>
      <c r="N92" s="7">
        <v>14.5789366152</v>
      </c>
      <c r="O92" s="7">
        <v>515206</v>
      </c>
      <c r="P92" s="7">
        <v>515.20600000000002</v>
      </c>
      <c r="Q92" s="7">
        <v>60.845185527200002</v>
      </c>
      <c r="R92" s="7">
        <v>208096</v>
      </c>
      <c r="S92" s="7">
        <v>208.096</v>
      </c>
      <c r="T92" s="7">
        <v>24.5758778575</v>
      </c>
    </row>
    <row r="93" spans="11:20" ht="12" customHeight="1">
      <c r="L93" s="7">
        <v>193428</v>
      </c>
      <c r="M93" s="7">
        <v>193.428</v>
      </c>
      <c r="N93" s="7">
        <v>13.620404835</v>
      </c>
      <c r="O93" s="7">
        <v>857416</v>
      </c>
      <c r="P93" s="7">
        <v>857.41600000000005</v>
      </c>
      <c r="Q93" s="7">
        <v>60.375711024499999</v>
      </c>
      <c r="R93" s="7">
        <v>369290</v>
      </c>
      <c r="S93" s="7">
        <v>369.29</v>
      </c>
      <c r="T93" s="7">
        <v>26.003884140499999</v>
      </c>
    </row>
    <row r="94" spans="11:20" ht="12" customHeight="1">
      <c r="K94" s="72" ph="1"/>
      <c r="L94" s="7">
        <v>249606</v>
      </c>
      <c r="M94" s="7">
        <v>249.60599999999999</v>
      </c>
      <c r="N94" s="7">
        <v>13.818542976</v>
      </c>
      <c r="O94" s="7">
        <v>1093440</v>
      </c>
      <c r="P94" s="7">
        <v>1093.44</v>
      </c>
      <c r="Q94" s="7">
        <v>60.534392729499999</v>
      </c>
      <c r="R94" s="7">
        <v>463266</v>
      </c>
      <c r="S94" s="7">
        <v>463.26600000000002</v>
      </c>
      <c r="T94" s="7">
        <v>25.647064294500002</v>
      </c>
    </row>
    <row r="95" spans="11:20" ht="12" customHeight="1">
      <c r="L95" s="7">
        <v>155634</v>
      </c>
      <c r="M95" s="7">
        <v>155.63399999999999</v>
      </c>
      <c r="N95" s="7">
        <v>13.081752336499999</v>
      </c>
      <c r="O95" s="7">
        <v>717319</v>
      </c>
      <c r="P95" s="7">
        <v>717.31899999999996</v>
      </c>
      <c r="Q95" s="7">
        <v>60.293955718399999</v>
      </c>
      <c r="R95" s="7">
        <v>316750</v>
      </c>
      <c r="S95" s="7">
        <v>316.75</v>
      </c>
      <c r="T95" s="7">
        <v>26.624291945100001</v>
      </c>
    </row>
    <row r="96" spans="11:20" ht="12" customHeight="1">
      <c r="L96" s="7">
        <v>158588</v>
      </c>
      <c r="M96" s="7">
        <v>158.58799999999999</v>
      </c>
      <c r="N96" s="7">
        <v>14.025114460099999</v>
      </c>
      <c r="O96" s="7">
        <v>680854</v>
      </c>
      <c r="P96" s="7">
        <v>680.85400000000004</v>
      </c>
      <c r="Q96" s="7">
        <v>60.212975008500003</v>
      </c>
      <c r="R96" s="7">
        <v>291301</v>
      </c>
      <c r="S96" s="7">
        <v>291.30099999999999</v>
      </c>
      <c r="T96" s="7">
        <v>25.761910531400002</v>
      </c>
    </row>
    <row r="97" spans="12:20" ht="12" customHeight="1">
      <c r="L97" s="7">
        <v>233379</v>
      </c>
      <c r="M97" s="7">
        <v>233.37899999999999</v>
      </c>
      <c r="N97" s="7">
        <v>13.7344700895</v>
      </c>
      <c r="O97" s="7">
        <v>1016150</v>
      </c>
      <c r="P97" s="7">
        <v>1016.15</v>
      </c>
      <c r="Q97" s="7">
        <v>59.8009323096</v>
      </c>
      <c r="R97" s="7">
        <v>449692</v>
      </c>
      <c r="S97" s="7">
        <v>449.69200000000001</v>
      </c>
      <c r="T97" s="7">
        <v>26.464597600899999</v>
      </c>
    </row>
    <row r="98" spans="12:20" ht="12" customHeight="1">
      <c r="L98" s="7">
        <v>246313</v>
      </c>
      <c r="M98" s="7">
        <v>246.31299999999999</v>
      </c>
      <c r="N98" s="7">
        <v>17.787157526800002</v>
      </c>
      <c r="O98" s="7">
        <v>897960</v>
      </c>
      <c r="P98" s="7">
        <v>897.96</v>
      </c>
      <c r="Q98" s="7">
        <v>64.844957321699994</v>
      </c>
      <c r="R98" s="7">
        <v>240507</v>
      </c>
      <c r="S98" s="7">
        <v>240.50700000000001</v>
      </c>
      <c r="T98" s="7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2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2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2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2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2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2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2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2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2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2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2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2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2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2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2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2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2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2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2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2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2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2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2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2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2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2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2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2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2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2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2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2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2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2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2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2" ph="1"/>
    </row>
  </sheetData>
  <mergeCells count="13"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</mergeCells>
  <phoneticPr fontId="29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sqref="A1:C1"/>
    </sheetView>
  </sheetViews>
  <sheetFormatPr defaultColWidth="9" defaultRowHeight="12"/>
  <cols>
    <col min="1" max="1" width="3.6328125" style="87" customWidth="1"/>
    <col min="2" max="3" width="13.6328125" style="87" customWidth="1"/>
    <col min="4" max="16384" width="9" style="77"/>
  </cols>
  <sheetData>
    <row r="1" spans="1:4" ht="18.75" customHeight="1">
      <c r="A1" s="457" t="s">
        <v>202</v>
      </c>
      <c r="B1" s="458"/>
      <c r="C1" s="458"/>
      <c r="D1" s="76"/>
    </row>
    <row r="2" spans="1:4" s="75" customFormat="1" ht="15" customHeight="1">
      <c r="B2" s="78"/>
      <c r="C2" s="79" t="s">
        <v>203</v>
      </c>
      <c r="D2" s="80"/>
    </row>
    <row r="3" spans="1:4" s="75" customFormat="1" ht="15" customHeight="1">
      <c r="A3" s="459" t="s">
        <v>204</v>
      </c>
      <c r="B3" s="81" t="s">
        <v>205</v>
      </c>
      <c r="C3" s="459" t="s">
        <v>206</v>
      </c>
      <c r="D3" s="80"/>
    </row>
    <row r="4" spans="1:4" s="75" customFormat="1" ht="15" customHeight="1">
      <c r="A4" s="460"/>
      <c r="B4" s="82" t="s">
        <v>207</v>
      </c>
      <c r="C4" s="460"/>
      <c r="D4" s="80"/>
    </row>
    <row r="5" spans="1:4" s="75" customFormat="1" ht="15" customHeight="1">
      <c r="A5" s="88"/>
      <c r="B5" s="83" t="s">
        <v>208</v>
      </c>
      <c r="C5" s="85">
        <v>3641066</v>
      </c>
      <c r="D5" s="80">
        <v>1</v>
      </c>
    </row>
    <row r="6" spans="1:4" s="75" customFormat="1" ht="15" customHeight="1">
      <c r="A6" s="454" t="s">
        <v>209</v>
      </c>
      <c r="B6" s="83" t="s">
        <v>210</v>
      </c>
      <c r="C6" s="84">
        <v>979632</v>
      </c>
      <c r="D6" s="80">
        <v>2</v>
      </c>
    </row>
    <row r="7" spans="1:4" s="75" customFormat="1" ht="15" customHeight="1">
      <c r="A7" s="455"/>
      <c r="B7" s="83" t="s">
        <v>211</v>
      </c>
      <c r="C7" s="84">
        <v>978655</v>
      </c>
      <c r="D7" s="80">
        <v>3</v>
      </c>
    </row>
    <row r="8" spans="1:4" s="75" customFormat="1" ht="15" customHeight="1">
      <c r="A8" s="455"/>
      <c r="B8" s="83" t="s">
        <v>212</v>
      </c>
      <c r="C8" s="84">
        <v>1565545</v>
      </c>
      <c r="D8" s="80">
        <v>4</v>
      </c>
    </row>
    <row r="9" spans="1:4" s="75" customFormat="1" ht="15" customHeight="1">
      <c r="A9" s="455"/>
      <c r="B9" s="83" t="s">
        <v>213</v>
      </c>
      <c r="C9" s="84">
        <v>810484</v>
      </c>
      <c r="D9" s="80">
        <v>5</v>
      </c>
    </row>
    <row r="10" spans="1:4" s="75" customFormat="1" ht="15" customHeight="1">
      <c r="A10" s="455"/>
      <c r="B10" s="83" t="s">
        <v>214</v>
      </c>
      <c r="C10" s="84">
        <v>913507</v>
      </c>
      <c r="D10" s="80">
        <v>6</v>
      </c>
    </row>
    <row r="11" spans="1:4" s="75" customFormat="1" ht="15" customHeight="1">
      <c r="A11" s="455"/>
      <c r="B11" s="83" t="s">
        <v>215</v>
      </c>
      <c r="C11" s="84">
        <v>1567029</v>
      </c>
      <c r="D11" s="80">
        <v>7</v>
      </c>
    </row>
    <row r="12" spans="1:4" s="75" customFormat="1" ht="15" customHeight="1">
      <c r="A12" s="454" t="s">
        <v>216</v>
      </c>
      <c r="B12" s="83" t="s">
        <v>217</v>
      </c>
      <c r="C12" s="84">
        <v>2463202</v>
      </c>
      <c r="D12" s="80">
        <v>8</v>
      </c>
    </row>
    <row r="13" spans="1:4" s="75" customFormat="1" ht="15" customHeight="1">
      <c r="A13" s="455"/>
      <c r="B13" s="83" t="s">
        <v>218</v>
      </c>
      <c r="C13" s="84">
        <v>1652324</v>
      </c>
      <c r="D13" s="80">
        <v>9</v>
      </c>
    </row>
    <row r="14" spans="1:4" s="75" customFormat="1" ht="15" customHeight="1">
      <c r="A14" s="455"/>
      <c r="B14" s="83" t="s">
        <v>219</v>
      </c>
      <c r="C14" s="84">
        <v>1729013</v>
      </c>
      <c r="D14" s="80">
        <v>10</v>
      </c>
    </row>
    <row r="15" spans="1:4" s="75" customFormat="1" ht="15" customHeight="1">
      <c r="A15" s="455"/>
      <c r="B15" s="83" t="s">
        <v>220</v>
      </c>
      <c r="C15" s="84">
        <v>3913007</v>
      </c>
      <c r="D15" s="80">
        <v>11</v>
      </c>
    </row>
    <row r="16" spans="1:4" s="75" customFormat="1" ht="15" customHeight="1">
      <c r="A16" s="455"/>
      <c r="B16" s="83" t="s">
        <v>221</v>
      </c>
      <c r="C16" s="84">
        <v>3468653</v>
      </c>
      <c r="D16" s="80">
        <v>12</v>
      </c>
    </row>
    <row r="17" spans="1:4" s="75" customFormat="1" ht="15" customHeight="1">
      <c r="A17" s="455"/>
      <c r="B17" s="83" t="s">
        <v>222</v>
      </c>
      <c r="C17" s="84">
        <v>4430557</v>
      </c>
      <c r="D17" s="80">
        <v>13</v>
      </c>
    </row>
    <row r="18" spans="1:4" s="75" customFormat="1" ht="15" customHeight="1">
      <c r="A18" s="455"/>
      <c r="B18" s="83" t="s">
        <v>223</v>
      </c>
      <c r="C18" s="84">
        <v>3941894</v>
      </c>
      <c r="D18" s="80">
        <v>14</v>
      </c>
    </row>
    <row r="19" spans="1:4" s="75" customFormat="1" ht="15" customHeight="1">
      <c r="A19" s="455"/>
      <c r="B19" s="83" t="s">
        <v>224</v>
      </c>
      <c r="C19" s="84">
        <v>727683</v>
      </c>
      <c r="D19" s="80">
        <v>15</v>
      </c>
    </row>
    <row r="20" spans="1:4" s="75" customFormat="1" ht="15" customHeight="1">
      <c r="A20" s="456" t="s">
        <v>225</v>
      </c>
      <c r="B20" s="83" t="s">
        <v>226</v>
      </c>
      <c r="C20" s="84">
        <v>1805354</v>
      </c>
      <c r="D20" s="80">
        <v>16</v>
      </c>
    </row>
    <row r="21" spans="1:4" s="75" customFormat="1" ht="15" customHeight="1">
      <c r="A21" s="456"/>
      <c r="B21" s="83" t="s">
        <v>227</v>
      </c>
      <c r="C21" s="84">
        <v>876190</v>
      </c>
      <c r="D21" s="80">
        <v>17</v>
      </c>
    </row>
    <row r="22" spans="1:4" s="75" customFormat="1" ht="15" customHeight="1">
      <c r="A22" s="456"/>
      <c r="B22" s="83" t="s">
        <v>228</v>
      </c>
      <c r="C22" s="84">
        <v>870758</v>
      </c>
      <c r="D22" s="80">
        <v>18</v>
      </c>
    </row>
    <row r="23" spans="1:4" s="75" customFormat="1" ht="15" customHeight="1">
      <c r="A23" s="456"/>
      <c r="B23" s="83" t="s">
        <v>229</v>
      </c>
      <c r="C23" s="84">
        <v>1846565</v>
      </c>
      <c r="D23" s="80">
        <v>19</v>
      </c>
    </row>
    <row r="24" spans="1:4" s="75" customFormat="1" ht="15" customHeight="1">
      <c r="A24" s="454" t="s">
        <v>230</v>
      </c>
      <c r="B24" s="83" t="s">
        <v>231</v>
      </c>
      <c r="C24" s="84">
        <v>643130</v>
      </c>
      <c r="D24" s="80">
        <v>20</v>
      </c>
    </row>
    <row r="25" spans="1:4" s="75" customFormat="1" ht="15" customHeight="1">
      <c r="A25" s="455"/>
      <c r="B25" s="83" t="s">
        <v>232</v>
      </c>
      <c r="C25" s="84">
        <v>1649384</v>
      </c>
      <c r="D25" s="80">
        <v>21</v>
      </c>
    </row>
    <row r="26" spans="1:4" s="75" customFormat="1" ht="15" customHeight="1">
      <c r="A26" s="455"/>
      <c r="B26" s="83" t="s">
        <v>233</v>
      </c>
      <c r="C26" s="84">
        <v>2807428</v>
      </c>
      <c r="D26" s="80">
        <v>22</v>
      </c>
    </row>
    <row r="27" spans="1:4" s="75" customFormat="1" ht="15" customHeight="1">
      <c r="A27" s="455"/>
      <c r="B27" s="83" t="s">
        <v>234</v>
      </c>
      <c r="C27" s="84">
        <v>4959294</v>
      </c>
      <c r="D27" s="80">
        <v>23</v>
      </c>
    </row>
    <row r="28" spans="1:4" s="75" customFormat="1" ht="15" customHeight="1">
      <c r="A28" s="455"/>
      <c r="B28" s="83" t="s">
        <v>235</v>
      </c>
      <c r="C28" s="84">
        <v>1462885</v>
      </c>
      <c r="D28" s="80">
        <v>24</v>
      </c>
    </row>
    <row r="29" spans="1:4" s="75" customFormat="1" ht="15" customHeight="1">
      <c r="A29" s="454" t="s">
        <v>236</v>
      </c>
      <c r="B29" s="83" t="s">
        <v>237</v>
      </c>
      <c r="C29" s="84">
        <v>977264</v>
      </c>
      <c r="D29" s="80">
        <v>25</v>
      </c>
    </row>
    <row r="30" spans="1:4" s="75" customFormat="1" ht="15" customHeight="1">
      <c r="A30" s="455"/>
      <c r="B30" s="83" t="s">
        <v>238</v>
      </c>
      <c r="C30" s="84">
        <v>1326722</v>
      </c>
      <c r="D30" s="80">
        <v>26</v>
      </c>
    </row>
    <row r="31" spans="1:4" s="75" customFormat="1" ht="15" customHeight="1">
      <c r="A31" s="455"/>
      <c r="B31" s="83" t="s">
        <v>239</v>
      </c>
      <c r="C31" s="84">
        <v>3685474</v>
      </c>
      <c r="D31" s="80">
        <v>27</v>
      </c>
    </row>
    <row r="32" spans="1:4" s="75" customFormat="1" ht="15" customHeight="1">
      <c r="A32" s="455"/>
      <c r="B32" s="83" t="s">
        <v>240</v>
      </c>
      <c r="C32" s="84">
        <v>820265</v>
      </c>
      <c r="D32" s="80">
        <v>28</v>
      </c>
    </row>
    <row r="33" spans="1:4" s="75" customFormat="1" ht="15" customHeight="1">
      <c r="A33" s="455"/>
      <c r="B33" s="83" t="s">
        <v>241</v>
      </c>
      <c r="C33" s="84">
        <v>739024</v>
      </c>
      <c r="D33" s="80">
        <v>29</v>
      </c>
    </row>
    <row r="34" spans="1:4" s="75" customFormat="1" ht="15" customHeight="1">
      <c r="A34" s="455"/>
      <c r="B34" s="83" t="s">
        <v>242</v>
      </c>
      <c r="C34" s="84">
        <v>2947615</v>
      </c>
      <c r="D34" s="80">
        <v>30</v>
      </c>
    </row>
    <row r="35" spans="1:4" s="75" customFormat="1" ht="15" customHeight="1">
      <c r="A35" s="454" t="s">
        <v>243</v>
      </c>
      <c r="B35" s="83" t="s">
        <v>244</v>
      </c>
      <c r="C35" s="84">
        <v>452979</v>
      </c>
      <c r="D35" s="80">
        <v>31</v>
      </c>
    </row>
    <row r="36" spans="1:4" s="75" customFormat="1" ht="15" customHeight="1">
      <c r="A36" s="455"/>
      <c r="B36" s="83" t="s">
        <v>245</v>
      </c>
      <c r="C36" s="84">
        <v>540274</v>
      </c>
      <c r="D36" s="80">
        <v>32</v>
      </c>
    </row>
    <row r="37" spans="1:4" s="75" customFormat="1" ht="15" customHeight="1">
      <c r="A37" s="455"/>
      <c r="B37" s="83" t="s">
        <v>246</v>
      </c>
      <c r="C37" s="84">
        <v>1480053</v>
      </c>
      <c r="D37" s="80">
        <v>33</v>
      </c>
    </row>
    <row r="38" spans="1:4" s="75" customFormat="1" ht="15" customHeight="1">
      <c r="A38" s="455"/>
      <c r="B38" s="83" t="s">
        <v>247</v>
      </c>
      <c r="C38" s="84">
        <v>1829747</v>
      </c>
      <c r="D38" s="80">
        <v>34</v>
      </c>
    </row>
    <row r="39" spans="1:4" s="75" customFormat="1" ht="15" customHeight="1">
      <c r="A39" s="455"/>
      <c r="B39" s="83" t="s">
        <v>248</v>
      </c>
      <c r="C39" s="84">
        <v>1052137</v>
      </c>
      <c r="D39" s="80">
        <v>35</v>
      </c>
    </row>
    <row r="40" spans="1:4" s="75" customFormat="1" ht="15" customHeight="1">
      <c r="A40" s="454" t="s">
        <v>249</v>
      </c>
      <c r="B40" s="83" t="s">
        <v>250</v>
      </c>
      <c r="C40" s="84">
        <v>607835</v>
      </c>
      <c r="D40" s="80">
        <v>36</v>
      </c>
    </row>
    <row r="41" spans="1:4" s="75" customFormat="1" ht="15" customHeight="1">
      <c r="A41" s="455"/>
      <c r="B41" s="83" t="s">
        <v>251</v>
      </c>
      <c r="C41" s="84">
        <v>756868</v>
      </c>
      <c r="D41" s="80">
        <v>37</v>
      </c>
    </row>
    <row r="42" spans="1:4" s="75" customFormat="1" ht="15" customHeight="1">
      <c r="A42" s="455"/>
      <c r="B42" s="83" t="s">
        <v>252</v>
      </c>
      <c r="C42" s="84">
        <v>995467</v>
      </c>
      <c r="D42" s="80">
        <v>38</v>
      </c>
    </row>
    <row r="43" spans="1:4" s="75" customFormat="1" ht="15" customHeight="1">
      <c r="A43" s="455"/>
      <c r="B43" s="83" t="s">
        <v>253</v>
      </c>
      <c r="C43" s="84">
        <v>553148</v>
      </c>
      <c r="D43" s="80">
        <v>39</v>
      </c>
    </row>
    <row r="44" spans="1:4" s="75" customFormat="1" ht="15" customHeight="1">
      <c r="A44" s="454" t="s">
        <v>254</v>
      </c>
      <c r="B44" s="83" t="s">
        <v>255</v>
      </c>
      <c r="C44" s="84">
        <v>3202804</v>
      </c>
      <c r="D44" s="80">
        <v>40</v>
      </c>
    </row>
    <row r="45" spans="1:4" s="75" customFormat="1" ht="15" customHeight="1">
      <c r="A45" s="455"/>
      <c r="B45" s="83" t="s">
        <v>256</v>
      </c>
      <c r="C45" s="84">
        <v>649949</v>
      </c>
      <c r="D45" s="80">
        <v>41</v>
      </c>
    </row>
    <row r="46" spans="1:4" s="75" customFormat="1" ht="15" customHeight="1">
      <c r="A46" s="455"/>
      <c r="B46" s="83" t="s">
        <v>257</v>
      </c>
      <c r="C46" s="84">
        <v>917336</v>
      </c>
      <c r="D46" s="80">
        <v>42</v>
      </c>
    </row>
    <row r="47" spans="1:4" s="75" customFormat="1" ht="15" customHeight="1">
      <c r="A47" s="455"/>
      <c r="B47" s="83" t="s">
        <v>258</v>
      </c>
      <c r="C47" s="84">
        <v>1315789</v>
      </c>
      <c r="D47" s="80">
        <v>43</v>
      </c>
    </row>
    <row r="48" spans="1:4" s="75" customFormat="1" ht="15" customHeight="1">
      <c r="A48" s="455"/>
      <c r="B48" s="83" t="s">
        <v>259</v>
      </c>
      <c r="C48" s="84">
        <v>892163</v>
      </c>
      <c r="D48" s="80">
        <v>44</v>
      </c>
    </row>
    <row r="49" spans="1:4" s="75" customFormat="1" ht="15" customHeight="1">
      <c r="A49" s="455"/>
      <c r="B49" s="83" t="s">
        <v>260</v>
      </c>
      <c r="C49" s="84">
        <v>911522</v>
      </c>
      <c r="D49" s="80">
        <v>45</v>
      </c>
    </row>
    <row r="50" spans="1:4" s="75" customFormat="1" ht="15" customHeight="1">
      <c r="A50" s="455"/>
      <c r="B50" s="83" t="s">
        <v>261</v>
      </c>
      <c r="C50" s="84">
        <v>1313047</v>
      </c>
      <c r="D50" s="80">
        <v>46</v>
      </c>
    </row>
    <row r="51" spans="1:4" s="75" customFormat="1" ht="15" customHeight="1">
      <c r="A51" s="461" t="s">
        <v>262</v>
      </c>
      <c r="B51" s="462"/>
      <c r="C51" s="85">
        <v>990052</v>
      </c>
      <c r="D51" s="80">
        <v>47</v>
      </c>
    </row>
    <row r="52" spans="1:4" s="75" customFormat="1" ht="30" customHeight="1">
      <c r="A52" s="453" t="s">
        <v>263</v>
      </c>
      <c r="B52" s="453"/>
      <c r="C52" s="86">
        <v>78660773</v>
      </c>
      <c r="D52" s="80"/>
    </row>
  </sheetData>
  <mergeCells count="13"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</mergeCells>
  <phoneticPr fontId="4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P50～51</vt:lpstr>
      <vt:lpstr>P52～53</vt:lpstr>
      <vt:lpstr>P54～55</vt:lpstr>
      <vt:lpstr>Sheet1</vt:lpstr>
      <vt:lpstr>Sheet3</vt:lpstr>
      <vt:lpstr>'P50～51'!Print_Area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2022-02-25T05:50:19Z</dcterms:modified>
</cp:coreProperties>
</file>