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43"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3" i="11" l="1"/>
  <c r="CW9" i="11"/>
  <c r="AF68" i="11"/>
  <c r="AP63" i="11" l="1"/>
  <c r="DQ102" i="11"/>
  <c r="DQ15" i="11"/>
  <c r="DL102" i="11"/>
  <c r="DL8" i="11"/>
  <c r="DG102" i="11"/>
  <c r="DG15" i="11"/>
  <c r="CW102" i="11"/>
  <c r="CR102" i="11"/>
  <c r="CR7" i="11"/>
  <c r="DQ8" i="11"/>
  <c r="CW12" i="11"/>
  <c r="CW11" i="11"/>
  <c r="CW10" i="11"/>
  <c r="CW8" i="11"/>
  <c r="CR9" i="11"/>
  <c r="CR8" i="11"/>
  <c r="CM16" i="11"/>
  <c r="CM15" i="11"/>
  <c r="CM14" i="11"/>
  <c r="CM13" i="11"/>
  <c r="CM12" i="11"/>
  <c r="CM11" i="11"/>
  <c r="CM10" i="11"/>
  <c r="CR10" i="11"/>
  <c r="CR11" i="11"/>
  <c r="CR12" i="11"/>
  <c r="CR13" i="11"/>
  <c r="CR14" i="11"/>
  <c r="CR15" i="11"/>
  <c r="CR16" i="11"/>
  <c r="CM9" i="11"/>
  <c r="CM8" i="11"/>
  <c r="CH8" i="11"/>
  <c r="CW7" i="11"/>
  <c r="CM7" i="11"/>
  <c r="CH7" i="11"/>
  <c r="AU88" i="11" l="1"/>
  <c r="AU72" i="11"/>
  <c r="AU68" i="11"/>
  <c r="AP88" i="11"/>
  <c r="AP72" i="11"/>
  <c r="AP68" i="11"/>
  <c r="AF88" i="11"/>
  <c r="AF75" i="11"/>
  <c r="AF74" i="11"/>
  <c r="AF73" i="11"/>
  <c r="AF72" i="11"/>
  <c r="AF71" i="11"/>
  <c r="AF70" i="11"/>
  <c r="AF69" i="11"/>
  <c r="AK72" i="11"/>
  <c r="AK68" i="11"/>
  <c r="AK74" i="11"/>
  <c r="AK73" i="11"/>
  <c r="AA75" i="11"/>
  <c r="V75" i="11"/>
  <c r="Q75" i="11"/>
  <c r="AA74" i="11"/>
  <c r="V74" i="11"/>
  <c r="Q74" i="11"/>
  <c r="AA73" i="11"/>
  <c r="V73" i="11"/>
  <c r="Q73" i="11"/>
  <c r="AA72" i="11"/>
  <c r="V72" i="11"/>
  <c r="Q72" i="11"/>
  <c r="AA71" i="11"/>
  <c r="V71" i="11"/>
  <c r="Q71" i="11"/>
  <c r="AA70" i="11"/>
  <c r="V70" i="11"/>
  <c r="Q70" i="11"/>
  <c r="AA69" i="11"/>
  <c r="V69" i="11"/>
  <c r="Q69" i="11"/>
  <c r="AA68" i="11"/>
  <c r="V68" i="11"/>
  <c r="Q68" i="11"/>
  <c r="AU63" i="11" l="1"/>
  <c r="AU33" i="11"/>
  <c r="AU32" i="11"/>
  <c r="AP33" i="11" l="1"/>
  <c r="AP32" i="11"/>
  <c r="AP31" i="11"/>
  <c r="AU31" i="11"/>
  <c r="V33" i="11"/>
  <c r="Q32" i="11"/>
  <c r="V32" i="11"/>
  <c r="AA30" i="11"/>
  <c r="V30" i="11"/>
  <c r="Q30" i="11"/>
  <c r="AB30" i="11"/>
  <c r="AC30" i="11"/>
  <c r="AD30" i="11"/>
  <c r="AE30" i="11"/>
  <c r="AA29" i="11"/>
  <c r="V29" i="11"/>
  <c r="Q29" i="11"/>
  <c r="V28" i="11"/>
  <c r="AA28" i="11"/>
  <c r="Q28" i="11"/>
  <c r="AB29" i="11" l="1"/>
  <c r="AB28" i="11"/>
  <c r="AP23" i="11"/>
  <c r="AA23" i="11"/>
  <c r="V23" i="11"/>
  <c r="Q23" i="11"/>
  <c r="AP9" i="11"/>
  <c r="AP8" i="11"/>
  <c r="AP7" i="11"/>
  <c r="AA9" i="11"/>
  <c r="AA8" i="11"/>
  <c r="V9" i="11"/>
  <c r="V8" i="11"/>
  <c r="Q9" i="11"/>
  <c r="Q8" i="11"/>
  <c r="AA7" i="11"/>
  <c r="V7" i="11"/>
  <c r="Q7" i="11"/>
  <c r="AB9" i="11"/>
  <c r="AC9" i="11"/>
  <c r="AD9" i="11"/>
  <c r="AE9" i="11"/>
  <c r="AC29" i="11" l="1"/>
  <c r="AC28" i="11"/>
  <c r="AB8" i="1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AD29" i="11" l="1"/>
  <c r="AE29" i="11" s="1"/>
  <c r="AD28" i="11"/>
  <c r="AE28" i="11" s="1"/>
  <c r="AC8" i="11"/>
  <c r="BW43" i="9"/>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AM35" i="9"/>
  <c r="C34" i="9"/>
  <c r="C35" i="9" s="1"/>
  <c r="C36" i="9" s="1"/>
  <c r="AD8" i="11" l="1"/>
  <c r="AE8" i="11"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B7" i="11"/>
  <c r="AC7" i="11" s="1"/>
  <c r="U35" i="9" l="1"/>
  <c r="AD7" i="11"/>
  <c r="AE7" i="11" s="1"/>
  <c r="U36" i="9" l="1"/>
  <c r="AM34" i="9"/>
  <c r="BE34" i="9"/>
  <c r="BE35"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<sst xmlns="http://schemas.openxmlformats.org/spreadsheetml/2006/main" count="1143" uniqueCount="556">
  <si>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</si>
  <si>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</si>
  <si>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</si>
  <si>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</si>
  <si>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</si>
  <si>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</si>
  <si>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</si>
  <si>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</si>
  <si>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</si>
  <si>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</si>
  <si>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</si>
  <si>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</si>
  <si>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</si>
  <si>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</si>
  <si>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</si>
  <si>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</si>
  <si>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</si>
  <si>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</si>
  <si>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</si>
  <si>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</si>
  <si>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</si>
  <si>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</si>
  <si>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</si>
  <si>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</si>
  <si>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</si>
  <si>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</si>
  <si>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</si>
  <si>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</si>
  <si>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</si>
  <si>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</si>
  <si>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</si>
  <si>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</si>
  <si>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</si>
  <si>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</si>
  <si>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</si>
  <si>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</si>
  <si>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</si>
  <si>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</si>
  <si>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</si>
  <si>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</si>
  <si>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</si>
  <si>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</si>
  <si>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</si>
  <si>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</si>
  <si>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</si>
  <si>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</si>
  <si>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</si>
  <si>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</si>
  <si>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</si>
  <si>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</si>
  <si>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</si>
  <si>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</si>
  <si>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</si>
  <si>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</si>
  <si>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</si>
  <si>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</si>
  <si>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</si>
  <si>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</si>
  <si>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</si>
  <si>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</si>
  <si>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</si>
  <si>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</si>
  <si>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</si>
  <si>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</si>
  <si>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</si>
  <si>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</si>
  <si>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</si>
  <si>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</si>
  <si>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</si>
  <si>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</si>
  <si>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</si>
  <si>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</si>
  <si>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</si>
  <si>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</si>
  <si>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</si>
  <si>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</si>
  <si>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</si>
  <si>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</si>
  <si>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</si>
  <si>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</si>
  <si>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</si>
  <si>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</si>
  <si>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</si>
  <si>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</si>
  <si>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</si>
  <si>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</si>
  <si>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</si>
  <si>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</si>
  <si>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</si>
  <si>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</si>
  <si>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</si>
  <si>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</si>
  <si>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</si>
  <si>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</si>
  <si>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</si>
  <si>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</si>
  <si>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</si>
  <si>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</si>
  <si>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</si>
  <si>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</si>
  <si>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</si>
  <si>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</si>
  <si>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</si>
  <si>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</si>
  <si>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</si>
  <si>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</si>
  <si>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</si>
  <si>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</si>
  <si>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</si>
  <si>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</si>
  <si>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</si>
  <si>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</si>
  <si>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</si>
  <si>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</si>
  <si>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</si>
  <si>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</si>
  <si>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</si>
  <si>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</si>
  <si>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</si>
  <si>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</si>
  <si>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</si>
  <si>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</si>
  <si>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</si>
  <si>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</si>
  <si>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</si>
  <si>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</si>
  <si>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</si>
  <si>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</si>
  <si>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</si>
  <si>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</si>
  <si>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</si>
  <si>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</si>
  <si>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</si>
  <si>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</si>
  <si>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</si>
  <si>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</si>
  <si>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</si>
  <si>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</si>
  <si>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</si>
  <si>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</si>
  <si>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</si>
  <si>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</si>
  <si>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</si>
  <si>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</si>
  <si>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</si>
  <si>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</si>
  <si>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</si>
  <si>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</si>
  <si>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</si>
  <si>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</si>
  <si>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</si>
  <si>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</si>
  <si>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</si>
  <si>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</si>
  <si>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</si>
  <si>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</si>
  <si>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</si>
  <si>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</si>
  <si>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</si>
  <si>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</si>
  <si>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</si>
  <si>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</si>
  <si>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</si>
  <si>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</si>
  <si>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</si>
  <si>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</si>
  <si>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</si>
  <si>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</si>
  <si>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</si>
  <si>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</si>
  <si>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</si>
  <si>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</si>
  <si>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</si>
  <si>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</si>
  <si>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</si>
  <si>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</si>
  <si>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</si>
  <si>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</si>
  <si>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</si>
  <si>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</si>
  <si>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</si>
  <si>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</si>
  <si>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</si>
  <si>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</si>
  <si>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</si>
  <si>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</si>
  <si>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</si>
  <si>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</si>
  <si>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</si>
  <si>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</si>
  <si>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</si>
  <si>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</si>
  <si>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</si>
  <si>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京都府宇治市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</si>
  <si>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</si>
  <si>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</si>
  <si>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</si>
  <si>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</si>
  <si>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</si>
  <si>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</si>
  <si>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</si>
  <si>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</si>
  <si>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</si>
  <si>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</si>
  <si>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</si>
  <si>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</si>
  <si>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</si>
  <si>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</si>
  <si>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</si>
  <si>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</si>
  <si>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</si>
  <si>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</si>
  <si>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</si>
  <si>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</si>
  <si>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</si>
  <si>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</si>
  <si>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</si>
  <si>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</si>
  <si>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</si>
  <si>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</si>
  <si>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</si>
  <si>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</si>
  <si>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</si>
  <si>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</si>
  <si>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</si>
  <si>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</si>
  <si>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</si>
  <si>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</si>
  <si>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</si>
  <si>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</si>
  <si>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</si>
  <si>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</si>
  <si>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</si>
  <si>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</si>
  <si>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</si>
  <si>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</si>
  <si>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</si>
  <si>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</si>
  <si>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</si>
  <si>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</si>
  <si>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</si>
  <si>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</si>
  <si>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</si>
  <si>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</si>
  <si>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</si>
  <si>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</si>
  <si>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</si>
  <si>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</si>
  <si>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</si>
  <si>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</si>
  <si>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</si>
  <si>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</si>
  <si>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</si>
  <si>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</si>
  <si>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</si>
  <si>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</si>
  <si>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</si>
  <si>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</si>
  <si>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</si>
  <si>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</si>
  <si>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</si>
  <si>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</si>
  <si>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</si>
  <si>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</si>
  <si>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</si>
  <si>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</si>
  <si>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</si>
  <si>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</si>
  <si>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</si>
  <si>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</si>
  <si>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</si>
  <si>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</si>
  <si>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</si>
  <si>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</si>
  <si>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</si>
  <si>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</si>
  <si>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</si>
  <si>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</si>
  <si>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</si>
  <si>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</si>
  <si>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</si>
  <si>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</si>
  <si>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</si>
  <si>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</si>
  <si>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</si>
  <si>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</si>
  <si>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</si>
  <si>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</si>
  <si>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</si>
  <si>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</si>
  <si>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</si>
  <si>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</si>
  <si>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</si>
  <si>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</si>
  <si>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</si>
  <si>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</si>
  <si>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</si>
  <si>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</si>
  <si>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</si>
  <si>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</si>
  <si>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</si>
  <si>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</si>
  <si>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</si>
  <si>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</si>
  <si>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</si>
  <si>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</si>
  <si>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</si>
  <si>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</si>
  <si>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</si>
  <si>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</si>
  <si>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</si>
  <si>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</si>
  <si>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</si>
  <si>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</si>
  <si>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</si>
  <si>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</si>
  <si>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</si>
  <si>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</si>
  <si>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</si>
  <si>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</si>
  <si>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</si>
  <si>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</si>
  <si>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</si>
  <si>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</si>
  <si>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</si>
  <si>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</si>
  <si>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</si>
  <si>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</si>
  <si>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</si>
  <si>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</si>
  <si>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</si>
  <si>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</si>
  <si>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</si>
  <si>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</si>
  <si>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</si>
  <si>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</si>
  <si>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</si>
  <si>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</si>
  <si>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</si>
  <si>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</si>
  <si>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</si>
  <si>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</si>
  <si>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京都府宇治市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</si>
  <si>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</si>
  <si>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</si>
  <si>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</si>
  <si>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</si>
  <si>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</si>
  <si>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</si>
  <si>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</si>
  <si>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</si>
  <si>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</si>
  <si>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</si>
  <si>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</si>
  <si>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</si>
  <si>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</si>
  <si>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</si>
  <si>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</si>
  <si>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</si>
  <si>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</si>
  <si>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</si>
  <si>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</si>
  <si>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</si>
  <si>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</si>
  <si>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</si>
  <si>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</si>
  <si>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</si>
  <si>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</si>
  <si>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</si>
  <si>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</si>
  <si>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</si>
  <si>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</si>
  <si>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</si>
  <si>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</si>
  <si>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</si>
  <si>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</si>
  <si>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</si>
  <si>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</si>
  <si>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</si>
  <si>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</si>
  <si>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</si>
  <si>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</si>
  <si>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</si>
  <si>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</si>
  <si>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</si>
  <si>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</si>
  <si>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</si>
  <si>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</si>
  <si>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</si>
  <si>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</si>
  <si>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</si>
  <si>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</si>
  <si>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</si>
  <si>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</si>
  <si>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</si>
  <si>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</si>
  <si>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</si>
  <si>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</si>
  <si>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</si>
  <si>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</si>
  <si>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</si>
  <si>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</si>
  <si>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</si>
  <si>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</si>
  <si>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</si>
  <si>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</si>
  <si>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</si>
  <si>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</si>
  <si>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</si>
  <si>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</si>
  <si>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</si>
  <si>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</si>
  <si>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</si>
  <si>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</si>
  <si>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</si>
  <si>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</si>
  <si>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</si>
  <si>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</si>
  <si>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</si>
  <si>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</si>
  <si>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</si>
  <si>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</si>
  <si>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</si>
  <si>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</si>
  <si>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</si>
  <si>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</si>
  <si>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</si>
  <si>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</si>
  <si>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</si>
  <si>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</si>
  <si>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</si>
  <si>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</si>
  <si>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</si>
  <si>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</si>
  <si>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</si>
  <si>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</si>
  <si>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</si>
  <si>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</si>
  <si>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</si>
  <si>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</si>
  <si>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</si>
  <si>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</si>
  <si>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</si>
  <si>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</si>
  <si>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</si>
  <si>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</si>
  <si>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</si>
  <si>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</si>
  <si>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</si>
  <si>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</si>
  <si>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</si>
  <si>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</si>
  <si>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</si>
  <si>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</si>
  <si>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</si>
  <si>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</si>
  <si>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</si>
  <si>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</si>
  <si>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</si>
  <si>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</si>
  <si>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</si>
  <si>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</si>
  <si>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</si>
  <si>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</si>
  <si>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</si>
  <si>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</si>
  <si>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</si>
  <si>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</si>
  <si>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</si>
  <si>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</si>
  <si>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</si>
  <si>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</si>
  <si>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</si>
  <si>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</si>
  <si>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</si>
  <si>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</si>
  <si>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</si>
  <si>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</si>
  <si>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</si>
  <si>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</si>
  <si>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</si>
  <si>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</si>
  <si>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</si>
  <si>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</si>
  <si>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</si>
  <si>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</si>
  <si>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</si>
  <si>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</si>
  <si>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</si>
  <si>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</si>
  <si>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</si>
  <si>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</si>
  <si>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</si>
  <si>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</si>
  <si>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</si>
  <si>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</si>
  <si>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</si>
  <si>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</si>
  <si>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</si>
  <si>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</si>
  <si>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</si>
  <si>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</si>
  <si>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</si>
  <si>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</si>
  <si>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</si>
  <si>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</si>
  <si>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</si>
  <si>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</si>
  <si>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</si>
  <si>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</si>
  <si>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</si>
  <si>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</si>
  <si>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</si>
  <si>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</si>
  <si>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</si>
  <si>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</si>
  <si>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</si>
  <si>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</si>
  <si>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</si>
  <si>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</si>
  <si>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</si>
  <si>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2.77</t>
  </si>
  <si>
    <t>▲ 2.23</t>
  </si>
  <si>
    <t>水道事業会計</t>
  </si>
  <si>
    <t>介護保険事業特別会計</t>
  </si>
  <si>
    <t>国民健康保険事業特別会計</t>
  </si>
  <si>
    <t>公共下水道事業特別会計</t>
  </si>
  <si>
    <t>一般会計</t>
  </si>
  <si>
    <t>後期高齢者医療事業特別会計</t>
  </si>
  <si>
    <t>簡易水道事業特別会計</t>
  </si>
  <si>
    <t>飲料水供給施設事業特別会計</t>
  </si>
  <si>
    <t>その他会計（赤字）</t>
  </si>
  <si>
    <t>その他会計（黒字）</t>
  </si>
  <si>
    <t>-</t>
    <phoneticPr fontId="2"/>
  </si>
  <si>
    <t>-</t>
    <phoneticPr fontId="2"/>
  </si>
  <si>
    <t>-</t>
    <phoneticPr fontId="2"/>
  </si>
  <si>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</si>
  <si>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</si>
  <si>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</si>
  <si>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</si>
  <si>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</si>
  <si>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</si>
  <si>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</si>
  <si>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</si>
  <si>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宇治市体育協会</t>
  </si>
  <si>
    <t>宇治廃棄物処理公社</t>
  </si>
  <si>
    <t>宇治市文化センター</t>
  </si>
  <si>
    <t>宇治市公園公社</t>
  </si>
  <si>
    <t>宇治市霊園公社</t>
  </si>
  <si>
    <t>宇治市福祉サービス公社</t>
  </si>
  <si>
    <t>宇治市野外活動センター</t>
  </si>
  <si>
    <t>エフエム宇治放送</t>
  </si>
  <si>
    <t>宇治市土地開発公社</t>
  </si>
  <si>
    <t>宇治市文化財愛護協会</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</si>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</sst>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43604</c:v>
                </c:pt>
                <c:pt idx="1">
                  <c:v>40400</c:v>
                </c:pt>
                <c:pt idx="2">
                  <c:v>28080</c:v>
                </c:pt>
                <c:pt idx="3">
                  <c:v>30101</c:v>
                </c:pt>
                <c:pt idx="4">
                  <c:v>24060</c:v>
                </c:pt>
              </c:numCache>
            </c:numRef>
          </c:val>
          <c:smooth val="0"/>
        </c:ser>
        <c:dLbls>
          <c:showLegendKey val="0"/>
          <c:showVal val="0"/>
          <c:showCatName val="0"/>
          <c:showSerName val="0"/>
          <c:showPercent val="0"/>
          <c:showBubbleSize val="0"/>
        </c:dLbls>
        <c:marker val="1"/>
        <c:smooth val="0"/>
        <c:axId val="88424832"/>
        <c:axId val="88426752"/>
      </c:lineChart>
      <c:catAx>
        <c:axId val="88424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26752"/>
        <c:crosses val="autoZero"/>
        <c:auto val="1"/>
        <c:lblAlgn val="ctr"/>
        <c:lblOffset val="100"/>
        <c:tickLblSkip val="1"/>
        <c:tickMarkSkip val="1"/>
        <c:noMultiLvlLbl val="0"/>
      </c:catAx>
      <c:valAx>
        <c:axId val="884267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2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1.1100000000000001</c:v>
                </c:pt>
                <c:pt idx="1">
                  <c:v>1.08</c:v>
                </c:pt>
                <c:pt idx="2">
                  <c:v>1.01</c:v>
                </c:pt>
                <c:pt idx="3">
                  <c:v>0.91</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c:v>
                </c:pt>
                <c:pt idx="1">
                  <c:v>8.75</c:v>
                </c:pt>
                <c:pt idx="2">
                  <c:v>6.58</c:v>
                </c:pt>
                <c:pt idx="3">
                  <c:v>7.16</c:v>
                </c:pt>
                <c:pt idx="4">
                  <c:v>7.6</c:v>
                </c:pt>
              </c:numCache>
            </c:numRef>
          </c:val>
        </c:ser>
        <c:dLbls>
          <c:showLegendKey val="0"/>
          <c:showVal val="0"/>
          <c:showCatName val="0"/>
          <c:showSerName val="0"/>
          <c:showPercent val="0"/>
          <c:showBubbleSize val="0"/>
        </c:dLbls>
        <c:gapWidth val="250"/>
        <c:overlap val="100"/>
        <c:axId val="99585408"/>
        <c:axId val="9959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-2.77</c:v>
                </c:pt>
                <c:pt idx="1">
                  <c:v>1.45</c:v>
                </c:pt>
                <c:pt idx="2">
                  <c:v>-2.23</c:v>
                </c:pt>
                <c:pt idx="3">
                  <c:v>0.51</c:v>
                </c:pt>
                <c:pt idx="4">
                  <c:v>0.39</c:v>
                </c:pt>
              </c:numCache>
            </c:numRef>
          </c:val>
          <c:smooth val="0"/>
        </c:ser>
        <c:dLbls>
          <c:showLegendKey val="0"/>
          <c:showVal val="0"/>
          <c:showCatName val="0"/>
          <c:showSerName val="0"/>
          <c:showPercent val="0"/>
          <c:showBubbleSize val="0"/>
        </c:dLbls>
        <c:marker val="1"/>
        <c:smooth val="0"/>
        <c:axId val="99585408"/>
        <c:axId val="99599872"/>
      </c:lineChart>
      <c:catAx>
        <c:axId val="9958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99872"/>
        <c:crosses val="autoZero"/>
        <c:auto val="1"/>
        <c:lblAlgn val="ctr"/>
        <c:lblOffset val="100"/>
        <c:tickLblSkip val="1"/>
        <c:tickMarkSkip val="1"/>
        <c:noMultiLvlLbl val="0"/>
      </c:catAx>
      <c:valAx>
        <c:axId val="9959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8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飲料水供給施設事業特別会計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0.19</c:v>
                </c:pt>
                <c:pt idx="4">
                  <c:v>#N/A</c:v>
                </c:pt>
                <c:pt idx="5">
                  <c:v>0.22</c:v>
                </c:pt>
                <c:pt idx="6">
                  <c:v>#N/A</c:v>
                </c:pt>
                <c:pt idx="7">
                  <c:v>0.03</c:v>
                </c:pt>
                <c:pt idx="8">
                  <c:v>#N/A</c:v>
                </c:pt>
                <c:pt idx="9">
                  <c:v>0.03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1.1100000000000001</c:v>
                </c:pt>
                <c:pt idx="2">
                  <c:v>#N/A</c:v>
                </c:pt>
                <c:pt idx="3">
                  <c:v>1.08</c:v>
                </c:pt>
                <c:pt idx="4">
                  <c:v>#N/A</c:v>
                </c:pt>
                <c:pt idx="5">
                  <c:v>1</c:v>
                </c:pt>
                <c:pt idx="6">
                  <c:v>#N/A</c:v>
                </c:pt>
                <c:pt idx="7">
                  <c:v>0.9</c:v>
                </c:pt>
                <c:pt idx="8">
                  <c:v>#N/A</c:v>
                </c:pt>
                <c:pt idx="9">
                  <c:v>0.85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1.36</c:v>
                </c:pt>
                <c:pt idx="2">
                  <c:v>#N/A</c:v>
                </c:pt>
                <c:pt idx="3">
                  <c:v>1.28</c:v>
                </c:pt>
                <c:pt idx="4">
                  <c:v>#N/A</c:v>
                </c:pt>
                <c:pt idx="5">
                  <c:v>2.13</c:v>
                </c:pt>
                <c:pt idx="6">
                  <c:v>#N/A</c:v>
                </c:pt>
                <c:pt idx="7">
                  <c:v>1.87</c:v>
                </c:pt>
                <c:pt idx="8">
                  <c:v>#N/A</c:v>
                </c:pt>
                <c:pt idx="9">
                  <c:v>1.4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0.05</c:v>
                </c:pt>
                <c:pt idx="2">
                  <c:v>#N/A</c:v>
                </c:pt>
                <c:pt idx="3">
                  <c:v>0.41</c:v>
                </c:pt>
                <c:pt idx="4">
                  <c:v>#N/A</c:v>
                </c:pt>
                <c:pt idx="5">
                  <c:v>0.82</c:v>
                </c:pt>
                <c:pt idx="6">
                  <c:v>#N/A</c:v>
                </c:pt>
                <c:pt idx="7">
                  <c:v>0.97</c:v>
                </c:pt>
                <c:pt idx="8">
                  <c:v>#N/A</c:v>
                </c:pt>
                <c:pt idx="9">
                  <c:v>1.42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5.05</c:v>
                </c:pt>
                <c:pt idx="2">
                  <c:v>#N/A</c:v>
                </c:pt>
                <c:pt idx="3">
                  <c:v>5.42</c:v>
                </c:pt>
                <c:pt idx="4">
                  <c:v>#N/A</c:v>
                </c:pt>
                <c:pt idx="5">
                  <c:v>5.47</c:v>
                </c:pt>
                <c:pt idx="6">
                  <c:v>#N/A</c:v>
                </c:pt>
                <c:pt idx="7">
                  <c:v>5.84</c:v>
                </c:pt>
                <c:pt idx="8">
                  <c:v>#N/A</c:v>
                </c:pt>
                <c:pt idx="9">
                  <c:v>5.86</c:v>
                </c:pt>
              </c:numCache>
            </c:numRef>
          </c:val>
        </c:ser>
        <c:dLbls>
          <c:showLegendKey val="0"/>
          <c:showVal val="0"/>
          <c:showCatName val="0"/>
          <c:showSerName val="0"/>
          <c:showPercent val="0"/>
          <c:showBubbleSize val="0"/>
        </c:dLbls>
        <c:gapWidth val="150"/>
        <c:overlap val="100"/>
        <c:axId val="99833344"/>
        <c:axId val="99834880"/>
      </c:barChart>
      <c:catAx>
        <c:axId val="9983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34880"/>
        <c:crosses val="autoZero"/>
        <c:auto val="1"/>
        <c:lblAlgn val="ctr"/>
        <c:lblOffset val="100"/>
        <c:tickLblSkip val="1"/>
        <c:tickMarkSkip val="1"/>
        <c:noMultiLvlLbl val="0"/>
      </c:catAx>
      <c:valAx>
        <c:axId val="9983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3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6447</c:v>
                </c:pt>
                <c:pt idx="5">
                  <c:v>6208</c:v>
                </c:pt>
                <c:pt idx="8">
                  <c:v>6324</c:v>
                </c:pt>
                <c:pt idx="11">
                  <c:v>6629</c:v>
                </c:pt>
                <c:pt idx="14">
                  <c:v>6886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109</c:v>
                </c:pt>
                <c:pt idx="3">
                  <c:v>323</c:v>
                </c:pt>
                <c:pt idx="6">
                  <c:v>274</c:v>
                </c:pt>
                <c:pt idx="9">
                  <c:v>98</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551</c:v>
                </c:pt>
                <c:pt idx="3">
                  <c:v>405</c:v>
                </c:pt>
                <c:pt idx="6">
                  <c:v>312</c:v>
                </c:pt>
                <c:pt idx="9">
                  <c:v>313</c:v>
                </c:pt>
                <c:pt idx="12">
                  <c:v>279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1808</c:v>
                </c:pt>
                <c:pt idx="3">
                  <c:v>1630</c:v>
                </c:pt>
                <c:pt idx="6">
                  <c:v>1502</c:v>
                </c:pt>
                <c:pt idx="9">
                  <c:v>1518</c:v>
                </c:pt>
                <c:pt idx="12">
                  <c:v>1675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5062</c:v>
                </c:pt>
                <c:pt idx="3">
                  <c:v>5024</c:v>
                </c:pt>
                <c:pt idx="6">
                  <c:v>5129</c:v>
                </c:pt>
                <c:pt idx="9">
                  <c:v>5378</c:v>
                </c:pt>
                <c:pt idx="12">
                  <c:v>5474</c:v>
                </c:pt>
              </c:numCache>
            </c:numRef>
          </c:val>
        </c:ser>
        <c:dLbls>
          <c:showLegendKey val="0"/>
          <c:showVal val="0"/>
          <c:showCatName val="0"/>
          <c:showSerName val="0"/>
          <c:showPercent val="0"/>
          <c:showBubbleSize val="0"/>
        </c:dLbls>
        <c:gapWidth val="100"/>
        <c:overlap val="100"/>
        <c:axId val="100072832"/>
        <c:axId val="10008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1083</c:v>
                </c:pt>
                <c:pt idx="2">
                  <c:v>#N/A</c:v>
                </c:pt>
                <c:pt idx="3">
                  <c:v>#N/A</c:v>
                </c:pt>
                <c:pt idx="4">
                  <c:v>1174</c:v>
                </c:pt>
                <c:pt idx="5">
                  <c:v>#N/A</c:v>
                </c:pt>
                <c:pt idx="6">
                  <c:v>#N/A</c:v>
                </c:pt>
                <c:pt idx="7">
                  <c:v>893</c:v>
                </c:pt>
                <c:pt idx="8">
                  <c:v>#N/A</c:v>
                </c:pt>
                <c:pt idx="9">
                  <c:v>#N/A</c:v>
                </c:pt>
                <c:pt idx="10">
                  <c:v>678</c:v>
                </c:pt>
                <c:pt idx="11">
                  <c:v>#N/A</c:v>
                </c:pt>
                <c:pt idx="12">
                  <c:v>#N/A</c:v>
                </c:pt>
                <c:pt idx="13">
                  <c:v>599</c:v>
                </c:pt>
                <c:pt idx="14">
                  <c:v>#N/A</c:v>
                </c:pt>
              </c:numCache>
            </c:numRef>
          </c:val>
          <c:smooth val="0"/>
        </c:ser>
        <c:dLbls>
          <c:showLegendKey val="0"/>
          <c:showVal val="0"/>
          <c:showCatName val="0"/>
          <c:showSerName val="0"/>
          <c:showPercent val="0"/>
          <c:showBubbleSize val="0"/>
        </c:dLbls>
        <c:marker val="1"/>
        <c:smooth val="0"/>
        <c:axId val="100072832"/>
        <c:axId val="100087296"/>
      </c:lineChart>
      <c:catAx>
        <c:axId val="1000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87296"/>
        <c:crosses val="autoZero"/>
        <c:auto val="1"/>
        <c:lblAlgn val="ctr"/>
        <c:lblOffset val="100"/>
        <c:tickLblSkip val="1"/>
        <c:tickMarkSkip val="1"/>
        <c:noMultiLvlLbl val="0"/>
      </c:catAx>
      <c:valAx>
        <c:axId val="10008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7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53803</c:v>
                </c:pt>
                <c:pt idx="5">
                  <c:v>55800</c:v>
                </c:pt>
                <c:pt idx="8">
                  <c:v>58778</c:v>
                </c:pt>
                <c:pt idx="11">
                  <c:v>61356</c:v>
                </c:pt>
                <c:pt idx="14">
                  <c:v>63756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16686</c:v>
                </c:pt>
                <c:pt idx="5">
                  <c:v>16195</c:v>
                </c:pt>
                <c:pt idx="8">
                  <c:v>15921</c:v>
                </c:pt>
                <c:pt idx="11">
                  <c:v>15055</c:v>
                </c:pt>
                <c:pt idx="14">
                  <c:v>15275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9627</c:v>
                </c:pt>
                <c:pt idx="5">
                  <c:v>10123</c:v>
                </c:pt>
                <c:pt idx="8">
                  <c:v>9425</c:v>
                </c:pt>
                <c:pt idx="11">
                  <c:v>10057</c:v>
                </c:pt>
                <c:pt idx="14">
                  <c:v>10549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575</c:v>
                </c:pt>
                <c:pt idx="3">
                  <c:v>578</c:v>
                </c:pt>
                <c:pt idx="6">
                  <c:v>613</c:v>
                </c:pt>
                <c:pt idx="9">
                  <c:v>650</c:v>
                </c:pt>
                <c:pt idx="12">
                  <c:v>642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9668</c:v>
                </c:pt>
                <c:pt idx="3">
                  <c:v>9505</c:v>
                </c:pt>
                <c:pt idx="6">
                  <c:v>8560</c:v>
                </c:pt>
                <c:pt idx="9">
                  <c:v>9097</c:v>
                </c:pt>
                <c:pt idx="12">
                  <c:v>8678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2247</c:v>
                </c:pt>
                <c:pt idx="3">
                  <c:v>1921</c:v>
                </c:pt>
                <c:pt idx="6">
                  <c:v>1648</c:v>
                </c:pt>
                <c:pt idx="9">
                  <c:v>1465</c:v>
                </c:pt>
                <c:pt idx="12">
                  <c:v>1714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24003</c:v>
                </c:pt>
                <c:pt idx="3">
                  <c:v>23225</c:v>
                </c:pt>
                <c:pt idx="6">
                  <c:v>21918</c:v>
                </c:pt>
                <c:pt idx="9">
                  <c:v>21258</c:v>
                </c:pt>
                <c:pt idx="12">
                  <c:v>21174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2393</c:v>
                </c:pt>
                <c:pt idx="3">
                  <c:v>2175</c:v>
                </c:pt>
                <c:pt idx="6">
                  <c:v>1859</c:v>
                </c:pt>
                <c:pt idx="9">
                  <c:v>1812</c:v>
                </c:pt>
                <c:pt idx="12">
                  <c:v>1856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41023</c:v>
                </c:pt>
                <c:pt idx="3">
                  <c:v>42842</c:v>
                </c:pt>
                <c:pt idx="6">
                  <c:v>44351</c:v>
                </c:pt>
                <c:pt idx="9">
                  <c:v>45154</c:v>
                </c:pt>
                <c:pt idx="12">
                  <c:v>45760</c:v>
                </c:pt>
              </c:numCache>
            </c:numRef>
          </c:val>
        </c:ser>
        <c:dLbls>
          <c:showLegendKey val="0"/>
          <c:showVal val="0"/>
          <c:showCatName val="0"/>
          <c:showSerName val="0"/>
          <c:showPercent val="0"/>
          <c:showBubbleSize val="0"/>
        </c:dLbls>
        <c:gapWidth val="100"/>
        <c:overlap val="100"/>
        <c:axId val="99747712"/>
        <c:axId val="9974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9747712"/>
        <c:axId val="99749888"/>
      </c:lineChart>
      <c:catAx>
        <c:axId val="997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749888"/>
        <c:crosses val="autoZero"/>
        <c:auto val="1"/>
        <c:lblAlgn val="ctr"/>
        <c:lblOffset val="100"/>
        <c:tickLblSkip val="1"/>
        <c:tickMarkSkip val="1"/>
        <c:noMultiLvlLbl val="0"/>
      </c:catAx>
      <c:valAx>
        <c:axId val="9974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190,856
188,242
67.54
60,726,462
60,274,770
293,212
34,297,869
45,759,857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京都府平均は上回っているものの、納税義務者数の減少に伴う住民税の減少等により基準財政収入額が減少しつつある一方、社会保障経費や公債費の増加等により基準財政需要額が増加している影響で、財政力指数は徐々に低下しています。</a:t>
          </a:r>
          <a:endParaRPr kumimoji="1" lang="en-US" altLang="ja-JP" sz="1300">
            <a:latin typeface="ＭＳ Ｐゴシック"/>
          </a:endParaRPr>
        </a:p>
        <a:p>
          <a:r>
            <a:rPr kumimoji="1" lang="ja-JP" altLang="en-US" sz="1300">
              <a:latin typeface="ＭＳ Ｐゴシック"/>
            </a:rPr>
            <a:t>　使用料・手数料の見直し等により自主財源を確保するとともに、市債発行額の抑制や、基金現在高の確保を図るなど、健全かつ持続可能な財政運営に努めていきます。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7" name="直線コネクタ 66"/>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143228</xdr:rowOff>
    </xdr:to>
    <xdr:cxnSp macro="">
      <xdr:nvCxnSpPr>
        <xdr:cNvPr id="70" name="直線コネクタ 69"/>
        <xdr:cNvCxnSpPr/>
      </xdr:nvCxnSpPr>
      <xdr:spPr>
        <a:xfrm>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62795</xdr:rowOff>
    </xdr:from>
    <xdr:to>
      <xdr:col>4</xdr:col>
      <xdr:colOff>482600</xdr:colOff>
      <xdr:row>41</xdr:row>
      <xdr:rowOff>103011</xdr:rowOff>
    </xdr:to>
    <xdr:cxnSp macro="">
      <xdr:nvCxnSpPr>
        <xdr:cNvPr id="73" name="直線コネクタ 72"/>
        <xdr:cNvCxnSpPr/>
      </xdr:nvCxnSpPr>
      <xdr:spPr>
        <a:xfrm>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62795</xdr:rowOff>
    </xdr:to>
    <xdr:cxnSp macro="">
      <xdr:nvCxnSpPr>
        <xdr:cNvPr id="76" name="直線コネクタ 75"/>
        <xdr:cNvCxnSpPr/>
      </xdr:nvCxnSpPr>
      <xdr:spPr>
        <a:xfrm>
          <a:off x="1447800" y="703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7"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8" name="円/楕円 87"/>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7355</xdr:rowOff>
    </xdr:from>
    <xdr:ext cx="736600" cy="259045"/>
    <xdr:sp macro="" textlink="">
      <xdr:nvSpPr>
        <xdr:cNvPr id="89" name="テキスト ボックス 88"/>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0" name="円/楕円 89"/>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138588</xdr:rowOff>
    </xdr:from>
    <xdr:ext cx="762000" cy="259045"/>
    <xdr:sp macro="" textlink="">
      <xdr:nvSpPr>
        <xdr:cNvPr id="91" name="テキスト ボックス 90"/>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11995</xdr:rowOff>
    </xdr:from>
    <xdr:to>
      <xdr:col>3</xdr:col>
      <xdr:colOff>330200</xdr:colOff>
      <xdr:row>41</xdr:row>
      <xdr:rowOff>113595</xdr:rowOff>
    </xdr:to>
    <xdr:sp macro="" textlink="">
      <xdr:nvSpPr>
        <xdr:cNvPr id="92" name="円/楕円 91"/>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93" name="テキスト ボックス 92"/>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4" name="円/楕円 93"/>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44749</xdr:rowOff>
    </xdr:from>
    <xdr:ext cx="762000" cy="259045"/>
    <xdr:sp macro="" textlink="">
      <xdr:nvSpPr>
        <xdr:cNvPr id="95" name="テキスト ボックス 94"/>
        <xdr:cNvSpPr txBox="1"/>
      </xdr:nvSpPr>
      <xdr:spPr>
        <a:xfrm>
          <a:off x="1066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％を超える水準</a:t>
          </a:r>
          <a:r>
            <a:rPr kumimoji="1" lang="ja-JP" altLang="en-US" sz="1300">
              <a:solidFill>
                <a:schemeClr val="dk1"/>
              </a:solidFill>
              <a:effectLst/>
              <a:latin typeface="+mn-lt"/>
              <a:ea typeface="+mn-ea"/>
              <a:cs typeface="+mn-cs"/>
            </a:rPr>
            <a:t>で推移しており</a:t>
          </a:r>
          <a:r>
            <a:rPr kumimoji="1" lang="ja-JP" altLang="ja-JP" sz="1300">
              <a:solidFill>
                <a:schemeClr val="dk1"/>
              </a:solidFill>
              <a:effectLst/>
              <a:latin typeface="+mn-lt"/>
              <a:ea typeface="+mn-ea"/>
              <a:cs typeface="+mn-cs"/>
            </a:rPr>
            <a:t>、今後も定数管理計画等による人件費の削減や行財政改革への取り組みを通じて更なる義務的経費の削減を図り、経常収支比率の適正化に努めていきます。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64</xdr:row>
      <xdr:rowOff>119804</xdr:rowOff>
    </xdr:to>
    <xdr:cxnSp macro="">
      <xdr:nvCxnSpPr>
        <xdr:cNvPr id="130" name="直線コネクタ 129"/>
        <xdr:cNvCxnSpPr/>
      </xdr:nvCxnSpPr>
      <xdr:spPr>
        <a:xfrm>
          <a:off x="4114800" y="110282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64</xdr:row>
      <xdr:rowOff>55456</xdr:rowOff>
    </xdr:to>
    <xdr:cxnSp macro="">
      <xdr:nvCxnSpPr>
        <xdr:cNvPr id="133" name="直線コネクタ 132"/>
        <xdr:cNvCxnSpPr/>
      </xdr:nvCxnSpPr>
      <xdr:spPr>
        <a:xfrm>
          <a:off x="3225800" y="10907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106256</xdr:rowOff>
    </xdr:to>
    <xdr:cxnSp macro="">
      <xdr:nvCxnSpPr>
        <xdr:cNvPr id="136" name="直線コネクタ 135"/>
        <xdr:cNvCxnSpPr/>
      </xdr:nvCxnSpPr>
      <xdr:spPr>
        <a:xfrm>
          <a:off x="2336800" y="1080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66</xdr:row>
      <xdr:rowOff>98637</xdr:rowOff>
    </xdr:to>
    <xdr:cxnSp macro="">
      <xdr:nvCxnSpPr>
        <xdr:cNvPr id="139" name="直線コネクタ 138"/>
        <xdr:cNvCxnSpPr/>
      </xdr:nvCxnSpPr>
      <xdr:spPr>
        <a:xfrm flipV="1">
          <a:off x="1447800" y="1080304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49" name="円/楕円 148"/>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41081</xdr:rowOff>
    </xdr:from>
    <xdr:ext cx="762000" cy="259045"/>
    <xdr:sp macro="" textlink="">
      <xdr:nvSpPr>
        <xdr:cNvPr id="150"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1" name="円/楕円 150"/>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91033</xdr:rowOff>
    </xdr:from>
    <xdr:ext cx="736600" cy="259045"/>
    <xdr:sp macro="" textlink="">
      <xdr:nvSpPr>
        <xdr:cNvPr id="152" name="テキスト ボックス 151"/>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3" name="円/楕円 152"/>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4" name="テキスト ボックス 153"/>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5" name="円/楕円 154"/>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6" name="テキスト ボックス 155"/>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47837</xdr:rowOff>
    </xdr:from>
    <xdr:to>
      <xdr:col>2</xdr:col>
      <xdr:colOff>127000</xdr:colOff>
      <xdr:row>66</xdr:row>
      <xdr:rowOff>149437</xdr:rowOff>
    </xdr:to>
    <xdr:sp macro="" textlink="">
      <xdr:nvSpPr>
        <xdr:cNvPr id="157" name="円/楕円 156"/>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134214</xdr:rowOff>
    </xdr:from>
    <xdr:ext cx="762000" cy="259045"/>
    <xdr:sp macro="" textlink="">
      <xdr:nvSpPr>
        <xdr:cNvPr id="158" name="テキスト ボックス 157"/>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従来から取り組んでいる事務的経費等の削減により、全国及び京都府内平均値より低い値となっています。今後も引き続き歳出の適正化に努めていきます。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98385</xdr:rowOff>
    </xdr:from>
    <xdr:to>
      <xdr:col>7</xdr:col>
      <xdr:colOff>152400</xdr:colOff>
      <xdr:row>80</xdr:row>
      <xdr:rowOff>122723</xdr:rowOff>
    </xdr:to>
    <xdr:cxnSp macro="">
      <xdr:nvCxnSpPr>
        <xdr:cNvPr id="191" name="直線コネクタ 190"/>
        <xdr:cNvCxnSpPr/>
      </xdr:nvCxnSpPr>
      <xdr:spPr>
        <a:xfrm>
          <a:off x="4114800" y="13814385"/>
          <a:ext cx="8382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98385</xdr:rowOff>
    </xdr:from>
    <xdr:to>
      <xdr:col>6</xdr:col>
      <xdr:colOff>0</xdr:colOff>
      <xdr:row>80</xdr:row>
      <xdr:rowOff>103569</xdr:rowOff>
    </xdr:to>
    <xdr:cxnSp macro="">
      <xdr:nvCxnSpPr>
        <xdr:cNvPr id="194" name="直線コネクタ 193"/>
        <xdr:cNvCxnSpPr/>
      </xdr:nvCxnSpPr>
      <xdr:spPr>
        <a:xfrm flipV="1">
          <a:off x="3225800" y="13814385"/>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103569</xdr:rowOff>
    </xdr:from>
    <xdr:to>
      <xdr:col>4</xdr:col>
      <xdr:colOff>482600</xdr:colOff>
      <xdr:row>80</xdr:row>
      <xdr:rowOff>107395</xdr:rowOff>
    </xdr:to>
    <xdr:cxnSp macro="">
      <xdr:nvCxnSpPr>
        <xdr:cNvPr id="197" name="直線コネクタ 196"/>
        <xdr:cNvCxnSpPr/>
      </xdr:nvCxnSpPr>
      <xdr:spPr>
        <a:xfrm flipV="1">
          <a:off x="2336800" y="13819569"/>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101749</xdr:rowOff>
    </xdr:from>
    <xdr:to>
      <xdr:col>3</xdr:col>
      <xdr:colOff>279400</xdr:colOff>
      <xdr:row>80</xdr:row>
      <xdr:rowOff>107395</xdr:rowOff>
    </xdr:to>
    <xdr:cxnSp macro="">
      <xdr:nvCxnSpPr>
        <xdr:cNvPr id="200" name="直線コネクタ 199"/>
        <xdr:cNvCxnSpPr/>
      </xdr:nvCxnSpPr>
      <xdr:spPr>
        <a:xfrm>
          <a:off x="1447800" y="1381774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32007</xdr:rowOff>
    </xdr:from>
    <xdr:ext cx="762000" cy="259045"/>
    <xdr:sp macro="" textlink="">
      <xdr:nvSpPr>
        <xdr:cNvPr id="204" name="テキスト ボックス 203"/>
        <xdr:cNvSpPr txBox="1"/>
      </xdr:nvSpPr>
      <xdr:spPr>
        <a:xfrm>
          <a:off x="1066800" y="139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71923</xdr:rowOff>
    </xdr:from>
    <xdr:to>
      <xdr:col>7</xdr:col>
      <xdr:colOff>203200</xdr:colOff>
      <xdr:row>81</xdr:row>
      <xdr:rowOff>2073</xdr:rowOff>
    </xdr:to>
    <xdr:sp macro="" textlink="">
      <xdr:nvSpPr>
        <xdr:cNvPr id="210" name="円/楕円 209"/>
        <xdr:cNvSpPr/>
      </xdr:nvSpPr>
      <xdr:spPr>
        <a:xfrm>
          <a:off x="4902200" y="137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164650</xdr:rowOff>
    </xdr:from>
    <xdr:ext cx="762000" cy="259045"/>
    <xdr:sp macro="" textlink="">
      <xdr:nvSpPr>
        <xdr:cNvPr id="211" name="人件費・物件費等の状況該当値テキスト"/>
        <xdr:cNvSpPr txBox="1"/>
      </xdr:nvSpPr>
      <xdr:spPr>
        <a:xfrm>
          <a:off x="5041900" y="1370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47585</xdr:rowOff>
    </xdr:from>
    <xdr:to>
      <xdr:col>6</xdr:col>
      <xdr:colOff>50800</xdr:colOff>
      <xdr:row>80</xdr:row>
      <xdr:rowOff>149185</xdr:rowOff>
    </xdr:to>
    <xdr:sp macro="" textlink="">
      <xdr:nvSpPr>
        <xdr:cNvPr id="212" name="円/楕円 211"/>
        <xdr:cNvSpPr/>
      </xdr:nvSpPr>
      <xdr:spPr>
        <a:xfrm>
          <a:off x="4064000" y="137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159362</xdr:rowOff>
    </xdr:from>
    <xdr:ext cx="736600" cy="259045"/>
    <xdr:sp macro="" textlink="">
      <xdr:nvSpPr>
        <xdr:cNvPr id="213" name="テキスト ボックス 212"/>
        <xdr:cNvSpPr txBox="1"/>
      </xdr:nvSpPr>
      <xdr:spPr>
        <a:xfrm>
          <a:off x="3733800" y="1353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52769</xdr:rowOff>
    </xdr:from>
    <xdr:to>
      <xdr:col>4</xdr:col>
      <xdr:colOff>533400</xdr:colOff>
      <xdr:row>80</xdr:row>
      <xdr:rowOff>154369</xdr:rowOff>
    </xdr:to>
    <xdr:sp macro="" textlink="">
      <xdr:nvSpPr>
        <xdr:cNvPr id="214" name="円/楕円 213"/>
        <xdr:cNvSpPr/>
      </xdr:nvSpPr>
      <xdr:spPr>
        <a:xfrm>
          <a:off x="3175000" y="137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164546</xdr:rowOff>
    </xdr:from>
    <xdr:ext cx="762000" cy="259045"/>
    <xdr:sp macro="" textlink="">
      <xdr:nvSpPr>
        <xdr:cNvPr id="215" name="テキスト ボックス 214"/>
        <xdr:cNvSpPr txBox="1"/>
      </xdr:nvSpPr>
      <xdr:spPr>
        <a:xfrm>
          <a:off x="2844800" y="135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56595</xdr:rowOff>
    </xdr:from>
    <xdr:to>
      <xdr:col>3</xdr:col>
      <xdr:colOff>330200</xdr:colOff>
      <xdr:row>80</xdr:row>
      <xdr:rowOff>158195</xdr:rowOff>
    </xdr:to>
    <xdr:sp macro="" textlink="">
      <xdr:nvSpPr>
        <xdr:cNvPr id="216" name="円/楕円 215"/>
        <xdr:cNvSpPr/>
      </xdr:nvSpPr>
      <xdr:spPr>
        <a:xfrm>
          <a:off x="2286000" y="137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168372</xdr:rowOff>
    </xdr:from>
    <xdr:ext cx="762000" cy="259045"/>
    <xdr:sp macro="" textlink="">
      <xdr:nvSpPr>
        <xdr:cNvPr id="217" name="テキスト ボックス 216"/>
        <xdr:cNvSpPr txBox="1"/>
      </xdr:nvSpPr>
      <xdr:spPr>
        <a:xfrm>
          <a:off x="1955800" y="1354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50949</xdr:rowOff>
    </xdr:from>
    <xdr:to>
      <xdr:col>2</xdr:col>
      <xdr:colOff>127000</xdr:colOff>
      <xdr:row>80</xdr:row>
      <xdr:rowOff>152549</xdr:rowOff>
    </xdr:to>
    <xdr:sp macro="" textlink="">
      <xdr:nvSpPr>
        <xdr:cNvPr id="218" name="円/楕円 217"/>
        <xdr:cNvSpPr/>
      </xdr:nvSpPr>
      <xdr:spPr>
        <a:xfrm>
          <a:off x="1397000" y="137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162726</xdr:rowOff>
    </xdr:from>
    <xdr:ext cx="762000" cy="259045"/>
    <xdr:sp macro="" textlink="">
      <xdr:nvSpPr>
        <xdr:cNvPr id="219" name="テキスト ボックス 218"/>
        <xdr:cNvSpPr txBox="1"/>
      </xdr:nvSpPr>
      <xdr:spPr>
        <a:xfrm>
          <a:off x="1066800" y="135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国、全国市平均よりも高い水準となっておりますが、全国及び京都府内平均値なども踏まえ、他団体の状況等を考慮しながら、給与の適正管理に努めていきます。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86</xdr:row>
      <xdr:rowOff>62992</xdr:rowOff>
    </xdr:to>
    <xdr:cxnSp macro="">
      <xdr:nvCxnSpPr>
        <xdr:cNvPr id="251" name="直線コネクタ 250"/>
        <xdr:cNvCxnSpPr/>
      </xdr:nvCxnSpPr>
      <xdr:spPr>
        <a:xfrm>
          <a:off x="16179800" y="1459534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88</xdr:row>
      <xdr:rowOff>144780</xdr:rowOff>
    </xdr:to>
    <xdr:cxnSp macro="">
      <xdr:nvCxnSpPr>
        <xdr:cNvPr id="254" name="直線コネクタ 253"/>
        <xdr:cNvCxnSpPr/>
      </xdr:nvCxnSpPr>
      <xdr:spPr>
        <a:xfrm flipV="1">
          <a:off x="15290800" y="14595348"/>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89</xdr:row>
      <xdr:rowOff>11937</xdr:rowOff>
    </xdr:to>
    <xdr:cxnSp macro="">
      <xdr:nvCxnSpPr>
        <xdr:cNvPr id="257" name="直線コネクタ 256"/>
        <xdr:cNvCxnSpPr/>
      </xdr:nvCxnSpPr>
      <xdr:spPr>
        <a:xfrm flipV="1">
          <a:off x="14401800" y="152323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89</xdr:row>
      <xdr:rowOff>11937</xdr:rowOff>
    </xdr:to>
    <xdr:cxnSp macro="">
      <xdr:nvCxnSpPr>
        <xdr:cNvPr id="260" name="直線コネクタ 259"/>
        <xdr:cNvCxnSpPr/>
      </xdr:nvCxnSpPr>
      <xdr:spPr>
        <a:xfrm>
          <a:off x="13512800" y="14450568"/>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63" name="フローチャート : 判断 262"/>
        <xdr:cNvSpPr/>
      </xdr:nvSpPr>
      <xdr:spPr>
        <a:xfrm>
          <a:off x="13462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122953</xdr:rowOff>
    </xdr:from>
    <xdr:ext cx="762000" cy="259045"/>
    <xdr:sp macro="" textlink="">
      <xdr:nvSpPr>
        <xdr:cNvPr id="264" name="テキスト ボックス 263"/>
        <xdr:cNvSpPr txBox="1"/>
      </xdr:nvSpPr>
      <xdr:spPr>
        <a:xfrm>
          <a:off x="13131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12192</xdr:rowOff>
    </xdr:from>
    <xdr:to>
      <xdr:col>24</xdr:col>
      <xdr:colOff>609600</xdr:colOff>
      <xdr:row>86</xdr:row>
      <xdr:rowOff>113792</xdr:rowOff>
    </xdr:to>
    <xdr:sp macro="" textlink="">
      <xdr:nvSpPr>
        <xdr:cNvPr id="270" name="円/楕円 269"/>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79519</xdr:rowOff>
    </xdr:from>
    <xdr:ext cx="762000" cy="259045"/>
    <xdr:sp macro="" textlink="">
      <xdr:nvSpPr>
        <xdr:cNvPr id="271" name="給与水準   （国との比較）該当値テキスト"/>
        <xdr:cNvSpPr txBox="1"/>
      </xdr:nvSpPr>
      <xdr:spPr>
        <a:xfrm>
          <a:off x="17106900" y="146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142748</xdr:rowOff>
    </xdr:from>
    <xdr:to>
      <xdr:col>23</xdr:col>
      <xdr:colOff>457200</xdr:colOff>
      <xdr:row>85</xdr:row>
      <xdr:rowOff>72898</xdr:rowOff>
    </xdr:to>
    <xdr:sp macro="" textlink="">
      <xdr:nvSpPr>
        <xdr:cNvPr id="272" name="円/楕円 271"/>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57675</xdr:rowOff>
    </xdr:from>
    <xdr:ext cx="736600" cy="259045"/>
    <xdr:sp macro="" textlink="">
      <xdr:nvSpPr>
        <xdr:cNvPr id="273" name="テキスト ボックス 272"/>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4" name="円/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5" name="テキスト ボックス 274"/>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6" name="円/楕円 275"/>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77" name="テキスト ボックス 276"/>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169418</xdr:rowOff>
    </xdr:from>
    <xdr:to>
      <xdr:col>19</xdr:col>
      <xdr:colOff>533400</xdr:colOff>
      <xdr:row>84</xdr:row>
      <xdr:rowOff>99568</xdr:rowOff>
    </xdr:to>
    <xdr:sp macro="" textlink="">
      <xdr:nvSpPr>
        <xdr:cNvPr id="278" name="円/楕円 277"/>
        <xdr:cNvSpPr/>
      </xdr:nvSpPr>
      <xdr:spPr>
        <a:xfrm>
          <a:off x="13462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109745</xdr:rowOff>
    </xdr:from>
    <xdr:ext cx="762000" cy="259045"/>
    <xdr:sp macro="" textlink="">
      <xdr:nvSpPr>
        <xdr:cNvPr id="279" name="テキスト ボックス 278"/>
        <xdr:cNvSpPr txBox="1"/>
      </xdr:nvSpPr>
      <xdr:spPr>
        <a:xfrm>
          <a:off x="13131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全国及び府内平均は下回っていますが、類似団体平均を上回っているため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引き続き適正な管理に努めていきます。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70993</xdr:rowOff>
    </xdr:from>
    <xdr:to>
      <xdr:col>24</xdr:col>
      <xdr:colOff>558800</xdr:colOff>
      <xdr:row>62</xdr:row>
      <xdr:rowOff>73406</xdr:rowOff>
    </xdr:to>
    <xdr:cxnSp macro="">
      <xdr:nvCxnSpPr>
        <xdr:cNvPr id="312" name="直線コネクタ 311"/>
        <xdr:cNvCxnSpPr/>
      </xdr:nvCxnSpPr>
      <xdr:spPr>
        <a:xfrm>
          <a:off x="16179800" y="1070089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58928</xdr:rowOff>
    </xdr:from>
    <xdr:to>
      <xdr:col>23</xdr:col>
      <xdr:colOff>406400</xdr:colOff>
      <xdr:row>62</xdr:row>
      <xdr:rowOff>70993</xdr:rowOff>
    </xdr:to>
    <xdr:cxnSp macro="">
      <xdr:nvCxnSpPr>
        <xdr:cNvPr id="315" name="直線コネクタ 314"/>
        <xdr:cNvCxnSpPr/>
      </xdr:nvCxnSpPr>
      <xdr:spPr>
        <a:xfrm>
          <a:off x="15290800" y="10688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58928</xdr:rowOff>
    </xdr:from>
    <xdr:to>
      <xdr:col>22</xdr:col>
      <xdr:colOff>203200</xdr:colOff>
      <xdr:row>62</xdr:row>
      <xdr:rowOff>58928</xdr:rowOff>
    </xdr:to>
    <xdr:cxnSp macro="">
      <xdr:nvCxnSpPr>
        <xdr:cNvPr id="318" name="直線コネクタ 317"/>
        <xdr:cNvCxnSpPr/>
      </xdr:nvCxnSpPr>
      <xdr:spPr>
        <a:xfrm>
          <a:off x="14401800" y="1068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58928</xdr:rowOff>
    </xdr:from>
    <xdr:to>
      <xdr:col>21</xdr:col>
      <xdr:colOff>0</xdr:colOff>
      <xdr:row>62</xdr:row>
      <xdr:rowOff>58928</xdr:rowOff>
    </xdr:to>
    <xdr:cxnSp macro="">
      <xdr:nvCxnSpPr>
        <xdr:cNvPr id="321" name="直線コネクタ 320"/>
        <xdr:cNvCxnSpPr/>
      </xdr:nvCxnSpPr>
      <xdr:spPr>
        <a:xfrm>
          <a:off x="13512800" y="1068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4" name="フローチャート : 判断 323"/>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5" name="テキスト ボックス 324"/>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22606</xdr:rowOff>
    </xdr:from>
    <xdr:to>
      <xdr:col>24</xdr:col>
      <xdr:colOff>609600</xdr:colOff>
      <xdr:row>62</xdr:row>
      <xdr:rowOff>124206</xdr:rowOff>
    </xdr:to>
    <xdr:sp macro="" textlink="">
      <xdr:nvSpPr>
        <xdr:cNvPr id="331" name="円/楕円 330"/>
        <xdr:cNvSpPr/>
      </xdr:nvSpPr>
      <xdr:spPr>
        <a:xfrm>
          <a:off x="16967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166133</xdr:rowOff>
    </xdr:from>
    <xdr:ext cx="762000" cy="259045"/>
    <xdr:sp macro="" textlink="">
      <xdr:nvSpPr>
        <xdr:cNvPr id="332" name="定員管理の状況該当値テキスト"/>
        <xdr:cNvSpPr txBox="1"/>
      </xdr:nvSpPr>
      <xdr:spPr>
        <a:xfrm>
          <a:off x="17106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20193</xdr:rowOff>
    </xdr:from>
    <xdr:to>
      <xdr:col>23</xdr:col>
      <xdr:colOff>457200</xdr:colOff>
      <xdr:row>62</xdr:row>
      <xdr:rowOff>121793</xdr:rowOff>
    </xdr:to>
    <xdr:sp macro="" textlink="">
      <xdr:nvSpPr>
        <xdr:cNvPr id="333" name="円/楕円 332"/>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106570</xdr:rowOff>
    </xdr:from>
    <xdr:ext cx="736600" cy="259045"/>
    <xdr:sp macro="" textlink="">
      <xdr:nvSpPr>
        <xdr:cNvPr id="334" name="テキスト ボックス 333"/>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8128</xdr:rowOff>
    </xdr:from>
    <xdr:to>
      <xdr:col>22</xdr:col>
      <xdr:colOff>254000</xdr:colOff>
      <xdr:row>62</xdr:row>
      <xdr:rowOff>109728</xdr:rowOff>
    </xdr:to>
    <xdr:sp macro="" textlink="">
      <xdr:nvSpPr>
        <xdr:cNvPr id="335" name="円/楕円 334"/>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94505</xdr:rowOff>
    </xdr:from>
    <xdr:ext cx="762000" cy="259045"/>
    <xdr:sp macro="" textlink="">
      <xdr:nvSpPr>
        <xdr:cNvPr id="336" name="テキスト ボックス 335"/>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8128</xdr:rowOff>
    </xdr:from>
    <xdr:to>
      <xdr:col>21</xdr:col>
      <xdr:colOff>50800</xdr:colOff>
      <xdr:row>62</xdr:row>
      <xdr:rowOff>109728</xdr:rowOff>
    </xdr:to>
    <xdr:sp macro="" textlink="">
      <xdr:nvSpPr>
        <xdr:cNvPr id="337" name="円/楕円 336"/>
        <xdr:cNvSpPr/>
      </xdr:nvSpPr>
      <xdr:spPr>
        <a:xfrm>
          <a:off x="14351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94505</xdr:rowOff>
    </xdr:from>
    <xdr:ext cx="762000" cy="259045"/>
    <xdr:sp macro="" textlink="">
      <xdr:nvSpPr>
        <xdr:cNvPr id="338" name="テキスト ボックス 337"/>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8128</xdr:rowOff>
    </xdr:from>
    <xdr:to>
      <xdr:col>19</xdr:col>
      <xdr:colOff>533400</xdr:colOff>
      <xdr:row>62</xdr:row>
      <xdr:rowOff>109728</xdr:rowOff>
    </xdr:to>
    <xdr:sp macro="" textlink="">
      <xdr:nvSpPr>
        <xdr:cNvPr id="339" name="円/楕円 338"/>
        <xdr:cNvSpPr/>
      </xdr:nvSpPr>
      <xdr:spPr>
        <a:xfrm>
          <a:off x="13462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94505</xdr:rowOff>
    </xdr:from>
    <xdr:ext cx="762000" cy="259045"/>
    <xdr:sp macro="" textlink="">
      <xdr:nvSpPr>
        <xdr:cNvPr id="340" name="テキスト ボックス 339"/>
        <xdr:cNvSpPr txBox="1"/>
      </xdr:nvSpPr>
      <xdr:spPr>
        <a:xfrm>
          <a:off x="13131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元利償還金に対する特定財源の増加や交付税算入公債費等の増加などにより、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ポイントの好転となっています。</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類似団体、全国及び京都府内平均値より低い値となっており、健全財政を堅持するため、引き続き適正な市債の発行等に努めていきます</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53657</xdr:rowOff>
    </xdr:to>
    <xdr:cxnSp macro="">
      <xdr:nvCxnSpPr>
        <xdr:cNvPr id="370" name="直線コネクタ 369"/>
        <xdr:cNvCxnSpPr/>
      </xdr:nvCxnSpPr>
      <xdr:spPr>
        <a:xfrm flipV="1">
          <a:off x="16179800" y="65265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53657</xdr:rowOff>
    </xdr:from>
    <xdr:to>
      <xdr:col>23</xdr:col>
      <xdr:colOff>406400</xdr:colOff>
      <xdr:row>38</xdr:row>
      <xdr:rowOff>77788</xdr:rowOff>
    </xdr:to>
    <xdr:cxnSp macro="">
      <xdr:nvCxnSpPr>
        <xdr:cNvPr id="373" name="直線コネクタ 372"/>
        <xdr:cNvCxnSpPr/>
      </xdr:nvCxnSpPr>
      <xdr:spPr>
        <a:xfrm flipV="1">
          <a:off x="15290800" y="65687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5" name="テキスト ボックス 374"/>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77788</xdr:rowOff>
    </xdr:from>
    <xdr:to>
      <xdr:col>22</xdr:col>
      <xdr:colOff>203200</xdr:colOff>
      <xdr:row>38</xdr:row>
      <xdr:rowOff>138113</xdr:rowOff>
    </xdr:to>
    <xdr:cxnSp macro="">
      <xdr:nvCxnSpPr>
        <xdr:cNvPr id="376" name="直線コネクタ 375"/>
        <xdr:cNvCxnSpPr/>
      </xdr:nvCxnSpPr>
      <xdr:spPr>
        <a:xfrm flipV="1">
          <a:off x="14401800" y="65928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78" name="テキスト ボックス 37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38</xdr:row>
      <xdr:rowOff>144145</xdr:rowOff>
    </xdr:to>
    <xdr:cxnSp macro="">
      <xdr:nvCxnSpPr>
        <xdr:cNvPr id="379" name="直線コネクタ 378"/>
        <xdr:cNvCxnSpPr/>
      </xdr:nvCxnSpPr>
      <xdr:spPr>
        <a:xfrm flipV="1">
          <a:off x="13512800" y="66532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2" name="フローチャート : 判断 381"/>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383" name="テキスト ボックス 382"/>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389" name="円/楕円 388"/>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390"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2857</xdr:rowOff>
    </xdr:from>
    <xdr:to>
      <xdr:col>23</xdr:col>
      <xdr:colOff>457200</xdr:colOff>
      <xdr:row>38</xdr:row>
      <xdr:rowOff>104457</xdr:rowOff>
    </xdr:to>
    <xdr:sp macro="" textlink="">
      <xdr:nvSpPr>
        <xdr:cNvPr id="391" name="円/楕円 390"/>
        <xdr:cNvSpPr/>
      </xdr:nvSpPr>
      <xdr:spPr>
        <a:xfrm>
          <a:off x="16129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114635</xdr:rowOff>
    </xdr:from>
    <xdr:ext cx="736600" cy="259045"/>
    <xdr:sp macro="" textlink="">
      <xdr:nvSpPr>
        <xdr:cNvPr id="392" name="テキスト ボックス 391"/>
        <xdr:cNvSpPr txBox="1"/>
      </xdr:nvSpPr>
      <xdr:spPr>
        <a:xfrm>
          <a:off x="15798800" y="628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26988</xdr:rowOff>
    </xdr:from>
    <xdr:to>
      <xdr:col>22</xdr:col>
      <xdr:colOff>254000</xdr:colOff>
      <xdr:row>38</xdr:row>
      <xdr:rowOff>128588</xdr:rowOff>
    </xdr:to>
    <xdr:sp macro="" textlink="">
      <xdr:nvSpPr>
        <xdr:cNvPr id="393" name="円/楕円 392"/>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138765</xdr:rowOff>
    </xdr:from>
    <xdr:ext cx="762000" cy="259045"/>
    <xdr:sp macro="" textlink="">
      <xdr:nvSpPr>
        <xdr:cNvPr id="394" name="テキスト ボックス 393"/>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395" name="円/楕円 394"/>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396" name="テキスト ボックス 395"/>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93345</xdr:rowOff>
    </xdr:from>
    <xdr:to>
      <xdr:col>19</xdr:col>
      <xdr:colOff>533400</xdr:colOff>
      <xdr:row>39</xdr:row>
      <xdr:rowOff>23495</xdr:rowOff>
    </xdr:to>
    <xdr:sp macro="" textlink="">
      <xdr:nvSpPr>
        <xdr:cNvPr id="397" name="円/楕円 396"/>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33672</xdr:rowOff>
    </xdr:from>
    <xdr:ext cx="762000" cy="259045"/>
    <xdr:sp macro="" textlink="">
      <xdr:nvSpPr>
        <xdr:cNvPr id="398" name="テキスト ボックス 397"/>
        <xdr:cNvSpPr txBox="1"/>
      </xdr:nvSpPr>
      <xdr:spPr>
        <a:xfrm>
          <a:off x="13131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充当可能財源等が将来負担額を上回っており、将来負担比率は算出されませんでした。引き続き、適正な市債の発行に努める等、将来世代へ過大な負担を残さないよう、持続可能な財政運営への取組を進めていきます。</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2"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3" name="フローチャート : 判断 432"/>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4" name="フローチャート : 判断 433"/>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5" name="テキスト ボックス 434"/>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36" name="フローチャート : 判断 435"/>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37" name="テキスト ボックス 436"/>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38" name="フローチャート : 判断 437"/>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39" name="テキスト ボックス 438"/>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0" name="フローチャート : 判断 439"/>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1" name="テキスト ボックス 440"/>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190,856
188,242
67.54
60,726,462
60,274,770
293,212
34,297,869
45,759,857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ゴミ収集事業等の</a:t>
          </a:r>
          <a:r>
            <a:rPr kumimoji="1" lang="ja-JP" altLang="ja-JP" sz="1300">
              <a:solidFill>
                <a:schemeClr val="dk1"/>
              </a:solidFill>
              <a:effectLst/>
              <a:latin typeface="+mn-lt"/>
              <a:ea typeface="+mn-ea"/>
              <a:cs typeface="+mn-cs"/>
            </a:rPr>
            <a:t>民間委託等、人件費の抑制に取り組んでいるものの、依然として類似団体、全国及び京都府内平均値を上回っています。民間活力等を活用し、より一層の効率化に努めていきます。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35560</xdr:rowOff>
    </xdr:from>
    <xdr:to>
      <xdr:col>7</xdr:col>
      <xdr:colOff>15875</xdr:colOff>
      <xdr:row>40</xdr:row>
      <xdr:rowOff>149860</xdr:rowOff>
    </xdr:to>
    <xdr:cxnSp macro="">
      <xdr:nvCxnSpPr>
        <xdr:cNvPr id="59" name="直線コネクタ 58"/>
        <xdr:cNvCxnSpPr/>
      </xdr:nvCxnSpPr>
      <xdr:spPr>
        <a:xfrm flipV="1">
          <a:off x="4826000" y="58648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121937</xdr:rowOff>
    </xdr:from>
    <xdr:ext cx="762000" cy="259045"/>
    <xdr:sp macro="" textlink="">
      <xdr:nvSpPr>
        <xdr:cNvPr id="62" name="人件費最大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34</xdr:row>
      <xdr:rowOff>35560</xdr:rowOff>
    </xdr:from>
    <xdr:to>
      <xdr:col>7</xdr:col>
      <xdr:colOff>104775</xdr:colOff>
      <xdr:row>34</xdr:row>
      <xdr:rowOff>35560</xdr:rowOff>
    </xdr:to>
    <xdr:cxnSp macro="">
      <xdr:nvCxnSpPr>
        <xdr:cNvPr id="63" name="直線コネクタ 62"/>
        <xdr:cNvCxnSpPr/>
      </xdr:nvCxnSpPr>
      <xdr:spPr>
        <a:xfrm>
          <a:off x="4737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8890</xdr:rowOff>
    </xdr:to>
    <xdr:cxnSp macro="">
      <xdr:nvCxnSpPr>
        <xdr:cNvPr id="64" name="直線コネクタ 63"/>
        <xdr:cNvCxnSpPr/>
      </xdr:nvCxnSpPr>
      <xdr:spPr>
        <a:xfrm>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66057</xdr:rowOff>
    </xdr:from>
    <xdr:ext cx="762000" cy="259045"/>
    <xdr:sp macro="" textlink="">
      <xdr:nvSpPr>
        <xdr:cNvPr id="65" name="人件費平均値テキスト"/>
        <xdr:cNvSpPr txBox="1"/>
      </xdr:nvSpPr>
      <xdr:spPr>
        <a:xfrm>
          <a:off x="4914900" y="62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66" name="フローチャート : 判断 65"/>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8890</xdr:rowOff>
    </xdr:to>
    <xdr:cxnSp macro="">
      <xdr:nvCxnSpPr>
        <xdr:cNvPr id="67" name="直線コネクタ 66"/>
        <xdr:cNvCxnSpPr/>
      </xdr:nvCxnSpPr>
      <xdr:spPr>
        <a:xfrm flipV="1">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8" name="フローチャート :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54610</xdr:rowOff>
    </xdr:to>
    <xdr:cxnSp macro="">
      <xdr:nvCxnSpPr>
        <xdr:cNvPr id="70" name="直線コネクタ 69"/>
        <xdr:cNvCxnSpPr/>
      </xdr:nvCxnSpPr>
      <xdr:spPr>
        <a:xfrm flipV="1">
          <a:off x="2209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118110</xdr:rowOff>
    </xdr:from>
    <xdr:to>
      <xdr:col>4</xdr:col>
      <xdr:colOff>396875</xdr:colOff>
      <xdr:row>38</xdr:row>
      <xdr:rowOff>48260</xdr:rowOff>
    </xdr:to>
    <xdr:sp macro="" textlink="">
      <xdr:nvSpPr>
        <xdr:cNvPr id="71" name="フローチャート : 判断 70"/>
        <xdr:cNvSpPr/>
      </xdr:nvSpPr>
      <xdr:spPr>
        <a:xfrm>
          <a:off x="3048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58437</xdr:rowOff>
    </xdr:from>
    <xdr:ext cx="762000" cy="259045"/>
    <xdr:sp macro="" textlink="">
      <xdr:nvSpPr>
        <xdr:cNvPr id="72" name="テキスト ボックス 71"/>
        <xdr:cNvSpPr txBox="1"/>
      </xdr:nvSpPr>
      <xdr:spPr>
        <a:xfrm>
          <a:off x="2717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41</xdr:row>
      <xdr:rowOff>39370</xdr:rowOff>
    </xdr:to>
    <xdr:cxnSp macro="">
      <xdr:nvCxnSpPr>
        <xdr:cNvPr id="73" name="直線コネクタ 72"/>
        <xdr:cNvCxnSpPr/>
      </xdr:nvCxnSpPr>
      <xdr:spPr>
        <a:xfrm flipV="1">
          <a:off x="1320800" y="67411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4" name="フローチャート : 判断 73"/>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75" name="テキスト ボックス 74"/>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76" name="フローチャート : 判断 75"/>
        <xdr:cNvSpPr/>
      </xdr:nvSpPr>
      <xdr:spPr>
        <a:xfrm>
          <a:off x="1270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7" name="テキスト ボックス 76"/>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3" name="円/楕円 82"/>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4"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5" name="円/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6" name="テキスト ボックス 85"/>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89" name="円/楕円 88"/>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0" name="テキスト ボックス 89"/>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160020</xdr:rowOff>
    </xdr:from>
    <xdr:to>
      <xdr:col>1</xdr:col>
      <xdr:colOff>676275</xdr:colOff>
      <xdr:row>41</xdr:row>
      <xdr:rowOff>90170</xdr:rowOff>
    </xdr:to>
    <xdr:sp macro="" textlink="">
      <xdr:nvSpPr>
        <xdr:cNvPr id="91" name="円/楕円 90"/>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74947</xdr:rowOff>
    </xdr:from>
    <xdr:ext cx="762000" cy="259045"/>
    <xdr:sp macro="" textlink="">
      <xdr:nvSpPr>
        <xdr:cNvPr id="92" name="テキスト ボックス 91"/>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従来から取り組んでいる事務的経費等の削減により、類似団体</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全国平均値より低い値となっています。しかし、賃金</a:t>
          </a:r>
          <a:r>
            <a:rPr kumimoji="1" lang="ja-JP" altLang="en-US" sz="1300">
              <a:solidFill>
                <a:schemeClr val="dk1"/>
              </a:solidFill>
              <a:effectLst/>
              <a:latin typeface="+mn-lt"/>
              <a:ea typeface="+mn-ea"/>
              <a:cs typeface="+mn-cs"/>
            </a:rPr>
            <a:t>を中心に</a:t>
          </a:r>
          <a:r>
            <a:rPr kumimoji="1" lang="ja-JP" altLang="ja-JP" sz="1300">
              <a:solidFill>
                <a:schemeClr val="dk1"/>
              </a:solidFill>
              <a:effectLst/>
              <a:latin typeface="+mn-lt"/>
              <a:ea typeface="+mn-ea"/>
              <a:cs typeface="+mn-cs"/>
            </a:rPr>
            <a:t>増加傾向</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あり、今後も引き続き歳出の適正化に努めていきます。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6" name="直線コネクタ 115"/>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75565</xdr:rowOff>
    </xdr:from>
    <xdr:to>
      <xdr:col>24</xdr:col>
      <xdr:colOff>31750</xdr:colOff>
      <xdr:row>14</xdr:row>
      <xdr:rowOff>86995</xdr:rowOff>
    </xdr:to>
    <xdr:cxnSp macro="">
      <xdr:nvCxnSpPr>
        <xdr:cNvPr id="121" name="直線コネクタ 120"/>
        <xdr:cNvCxnSpPr/>
      </xdr:nvCxnSpPr>
      <xdr:spPr>
        <a:xfrm>
          <a:off x="15671800" y="2475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2"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3" name="フローチャート : 判断 122"/>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18415</xdr:rowOff>
    </xdr:from>
    <xdr:to>
      <xdr:col>22</xdr:col>
      <xdr:colOff>565150</xdr:colOff>
      <xdr:row>14</xdr:row>
      <xdr:rowOff>75565</xdr:rowOff>
    </xdr:to>
    <xdr:cxnSp macro="">
      <xdr:nvCxnSpPr>
        <xdr:cNvPr id="124" name="直線コネクタ 123"/>
        <xdr:cNvCxnSpPr/>
      </xdr:nvCxnSpPr>
      <xdr:spPr>
        <a:xfrm>
          <a:off x="14782800" y="24187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5" name="フローチャート : 判断 124"/>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6" name="テキスト ボックス 125"/>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xdr:rowOff>
    </xdr:from>
    <xdr:to>
      <xdr:col>21</xdr:col>
      <xdr:colOff>361950</xdr:colOff>
      <xdr:row>14</xdr:row>
      <xdr:rowOff>18415</xdr:rowOff>
    </xdr:to>
    <xdr:cxnSp macro="">
      <xdr:nvCxnSpPr>
        <xdr:cNvPr id="127" name="直線コネクタ 126"/>
        <xdr:cNvCxnSpPr/>
      </xdr:nvCxnSpPr>
      <xdr:spPr>
        <a:xfrm>
          <a:off x="13893800" y="2401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28" name="フローチャート : 判断 127"/>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29" name="テキスト ボックス 128"/>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xdr:rowOff>
    </xdr:from>
    <xdr:to>
      <xdr:col>20</xdr:col>
      <xdr:colOff>158750</xdr:colOff>
      <xdr:row>14</xdr:row>
      <xdr:rowOff>29845</xdr:rowOff>
    </xdr:to>
    <xdr:cxnSp macro="">
      <xdr:nvCxnSpPr>
        <xdr:cNvPr id="130" name="直線コネクタ 129"/>
        <xdr:cNvCxnSpPr/>
      </xdr:nvCxnSpPr>
      <xdr:spPr>
        <a:xfrm flipV="1">
          <a:off x="13004800" y="2401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1" name="フローチャート : 判断 130"/>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2" name="テキスト ボックス 131"/>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3" name="フローチャート : 判断 132"/>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53992</xdr:rowOff>
    </xdr:from>
    <xdr:ext cx="762000" cy="259045"/>
    <xdr:sp macro="" textlink="">
      <xdr:nvSpPr>
        <xdr:cNvPr id="134" name="テキスト ボックス 133"/>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36195</xdr:rowOff>
    </xdr:from>
    <xdr:to>
      <xdr:col>24</xdr:col>
      <xdr:colOff>82550</xdr:colOff>
      <xdr:row>14</xdr:row>
      <xdr:rowOff>137795</xdr:rowOff>
    </xdr:to>
    <xdr:sp macro="" textlink="">
      <xdr:nvSpPr>
        <xdr:cNvPr id="140" name="円/楕円 139"/>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116222</xdr:rowOff>
    </xdr:from>
    <xdr:ext cx="762000" cy="259045"/>
    <xdr:sp macro="" textlink="">
      <xdr:nvSpPr>
        <xdr:cNvPr id="141" name="物件費該当値テキスト"/>
        <xdr:cNvSpPr txBox="1"/>
      </xdr:nvSpPr>
      <xdr:spPr>
        <a:xfrm>
          <a:off x="16598900" y="23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24765</xdr:rowOff>
    </xdr:from>
    <xdr:to>
      <xdr:col>22</xdr:col>
      <xdr:colOff>615950</xdr:colOff>
      <xdr:row>14</xdr:row>
      <xdr:rowOff>126365</xdr:rowOff>
    </xdr:to>
    <xdr:sp macro="" textlink="">
      <xdr:nvSpPr>
        <xdr:cNvPr id="142" name="円/楕円 141"/>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136542</xdr:rowOff>
    </xdr:from>
    <xdr:ext cx="736600" cy="259045"/>
    <xdr:sp macro="" textlink="">
      <xdr:nvSpPr>
        <xdr:cNvPr id="143" name="テキスト ボックス 142"/>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139065</xdr:rowOff>
    </xdr:from>
    <xdr:to>
      <xdr:col>21</xdr:col>
      <xdr:colOff>412750</xdr:colOff>
      <xdr:row>14</xdr:row>
      <xdr:rowOff>69215</xdr:rowOff>
    </xdr:to>
    <xdr:sp macro="" textlink="">
      <xdr:nvSpPr>
        <xdr:cNvPr id="144" name="円/楕円 143"/>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79392</xdr:rowOff>
    </xdr:from>
    <xdr:ext cx="762000" cy="259045"/>
    <xdr:sp macro="" textlink="">
      <xdr:nvSpPr>
        <xdr:cNvPr id="145" name="テキスト ボックス 144"/>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121920</xdr:rowOff>
    </xdr:from>
    <xdr:to>
      <xdr:col>20</xdr:col>
      <xdr:colOff>209550</xdr:colOff>
      <xdr:row>14</xdr:row>
      <xdr:rowOff>52070</xdr:rowOff>
    </xdr:to>
    <xdr:sp macro="" textlink="">
      <xdr:nvSpPr>
        <xdr:cNvPr id="146" name="円/楕円 145"/>
        <xdr:cNvSpPr/>
      </xdr:nvSpPr>
      <xdr:spPr>
        <a:xfrm>
          <a:off x="13843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62247</xdr:rowOff>
    </xdr:from>
    <xdr:ext cx="762000" cy="259045"/>
    <xdr:sp macro="" textlink="">
      <xdr:nvSpPr>
        <xdr:cNvPr id="147" name="テキスト ボックス 146"/>
        <xdr:cNvSpPr txBox="1"/>
      </xdr:nvSpPr>
      <xdr:spPr>
        <a:xfrm>
          <a:off x="13512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150495</xdr:rowOff>
    </xdr:from>
    <xdr:to>
      <xdr:col>19</xdr:col>
      <xdr:colOff>6350</xdr:colOff>
      <xdr:row>14</xdr:row>
      <xdr:rowOff>80645</xdr:rowOff>
    </xdr:to>
    <xdr:sp macro="" textlink="">
      <xdr:nvSpPr>
        <xdr:cNvPr id="148" name="円/楕円 147"/>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90822</xdr:rowOff>
    </xdr:from>
    <xdr:ext cx="762000" cy="259045"/>
    <xdr:sp macro="" textlink="">
      <xdr:nvSpPr>
        <xdr:cNvPr id="149" name="テキスト ボックス 148"/>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臨時福祉給付金の開始、</a:t>
          </a:r>
          <a:r>
            <a:rPr kumimoji="1" lang="ja-JP" altLang="ja-JP" sz="1300">
              <a:solidFill>
                <a:schemeClr val="dk1"/>
              </a:solidFill>
              <a:effectLst/>
              <a:latin typeface="+mn-lt"/>
              <a:ea typeface="+mn-ea"/>
              <a:cs typeface="+mn-cs"/>
            </a:rPr>
            <a:t>生活保護</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子育て支援医療費</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障害者介護給付費の増加などの影響により、前年度から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しています。類似団体や全国平均と比較しても高い水準となっており、財政硬直化の要因の一つとなっています。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79" name="直線コネクタ 178"/>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58</xdr:row>
      <xdr:rowOff>110672</xdr:rowOff>
    </xdr:to>
    <xdr:cxnSp macro="">
      <xdr:nvCxnSpPr>
        <xdr:cNvPr id="184" name="直線コネクタ 183"/>
        <xdr:cNvCxnSpPr/>
      </xdr:nvCxnSpPr>
      <xdr:spPr>
        <a:xfrm>
          <a:off x="3987800" y="10022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5"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6" name="フローチャート : 判断 185"/>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78015</xdr:rowOff>
    </xdr:to>
    <xdr:cxnSp macro="">
      <xdr:nvCxnSpPr>
        <xdr:cNvPr id="187" name="直線コネクタ 186"/>
        <xdr:cNvCxnSpPr/>
      </xdr:nvCxnSpPr>
      <xdr:spPr>
        <a:xfrm>
          <a:off x="3098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88" name="フローチャート : 判断 187"/>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89" name="テキスト ボックス 188"/>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58</xdr:row>
      <xdr:rowOff>12700</xdr:rowOff>
    </xdr:to>
    <xdr:cxnSp macro="">
      <xdr:nvCxnSpPr>
        <xdr:cNvPr id="190" name="直線コネクタ 189"/>
        <xdr:cNvCxnSpPr/>
      </xdr:nvCxnSpPr>
      <xdr:spPr>
        <a:xfrm>
          <a:off x="2209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1" name="フローチャート : 判断 19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2" name="テキスト ボックス 191"/>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86178</xdr:rowOff>
    </xdr:to>
    <xdr:cxnSp macro="">
      <xdr:nvCxnSpPr>
        <xdr:cNvPr id="193" name="直線コネクタ 192"/>
        <xdr:cNvCxnSpPr/>
      </xdr:nvCxnSpPr>
      <xdr:spPr>
        <a:xfrm flipV="1">
          <a:off x="1320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4" name="フローチャート : 判断 19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5" name="テキスト ボックス 19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6" name="フローチャート : 判断 195"/>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197" name="テキスト ボックス 196"/>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3" name="円/楕円 202"/>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4"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5" name="円/楕円 204"/>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6" name="テキスト ボックス 205"/>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7" name="円/楕円 206"/>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08" name="テキスト ボックス 20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09" name="円/楕円 20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0" name="テキスト ボックス 209"/>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1" name="円/楕円 210"/>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2" name="テキスト ボックス 211"/>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類似団体、全国及び京都府内平均値より高い値となっています。高齢化などに伴い、後期高齢者医療事業特別会計や介護保険事業特別会計への繰出金が増加しています。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0" name="直線コネクタ 239"/>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2" name="直線コネクタ 24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4" name="直線コネクタ 24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58</xdr:row>
      <xdr:rowOff>0</xdr:rowOff>
    </xdr:to>
    <xdr:cxnSp macro="">
      <xdr:nvCxnSpPr>
        <xdr:cNvPr id="245" name="直線コネクタ 244"/>
        <xdr:cNvCxnSpPr/>
      </xdr:nvCxnSpPr>
      <xdr:spPr>
        <a:xfrm>
          <a:off x="15671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6"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7" name="フローチャート : 判断 24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95250</xdr:rowOff>
    </xdr:from>
    <xdr:to>
      <xdr:col>22</xdr:col>
      <xdr:colOff>565150</xdr:colOff>
      <xdr:row>57</xdr:row>
      <xdr:rowOff>133350</xdr:rowOff>
    </xdr:to>
    <xdr:cxnSp macro="">
      <xdr:nvCxnSpPr>
        <xdr:cNvPr id="248" name="直線コネクタ 247"/>
        <xdr:cNvCxnSpPr/>
      </xdr:nvCxnSpPr>
      <xdr:spPr>
        <a:xfrm>
          <a:off x="14782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49" name="フローチャート : 判断 248"/>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0" name="テキスト ボックス 249"/>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95250</xdr:rowOff>
    </xdr:to>
    <xdr:cxnSp macro="">
      <xdr:nvCxnSpPr>
        <xdr:cNvPr id="251" name="直線コネクタ 250"/>
        <xdr:cNvCxnSpPr/>
      </xdr:nvCxnSpPr>
      <xdr:spPr>
        <a:xfrm>
          <a:off x="13893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2" name="フローチャート : 判断 251"/>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3" name="テキスト ボックス 252"/>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82550</xdr:rowOff>
    </xdr:to>
    <xdr:cxnSp macro="">
      <xdr:nvCxnSpPr>
        <xdr:cNvPr id="254" name="直線コネクタ 253"/>
        <xdr:cNvCxnSpPr/>
      </xdr:nvCxnSpPr>
      <xdr:spPr>
        <a:xfrm flipV="1">
          <a:off x="13004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5" name="フローチャート : 判断 254"/>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6" name="テキスト ボックス 255"/>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7" name="フローチャート : 判断 256"/>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58" name="テキスト ボックス 257"/>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64" name="円/楕円 263"/>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92727</xdr:rowOff>
    </xdr:from>
    <xdr:ext cx="762000" cy="259045"/>
    <xdr:sp macro="" textlink="">
      <xdr:nvSpPr>
        <xdr:cNvPr id="265"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66" name="円/楕円 265"/>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168927</xdr:rowOff>
    </xdr:from>
    <xdr:ext cx="736600" cy="259045"/>
    <xdr:sp macro="" textlink="">
      <xdr:nvSpPr>
        <xdr:cNvPr id="267" name="テキスト ボックス 266"/>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44450</xdr:rowOff>
    </xdr:from>
    <xdr:to>
      <xdr:col>21</xdr:col>
      <xdr:colOff>412750</xdr:colOff>
      <xdr:row>57</xdr:row>
      <xdr:rowOff>146050</xdr:rowOff>
    </xdr:to>
    <xdr:sp macro="" textlink="">
      <xdr:nvSpPr>
        <xdr:cNvPr id="268" name="円/楕円 267"/>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130827</xdr:rowOff>
    </xdr:from>
    <xdr:ext cx="762000" cy="259045"/>
    <xdr:sp macro="" textlink="">
      <xdr:nvSpPr>
        <xdr:cNvPr id="269" name="テキスト ボックス 26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0" name="円/楕円 26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1" name="テキスト ボックス 27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2" name="円/楕円 271"/>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73" name="テキスト ボックス 272"/>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全国及び京都府内平均値より低い値となっていますが、類似団体</a:t>
          </a:r>
          <a:r>
            <a:rPr kumimoji="1" lang="ja-JP" altLang="en-US" sz="1300">
              <a:solidFill>
                <a:schemeClr val="dk1"/>
              </a:solidFill>
              <a:effectLst/>
              <a:latin typeface="+mn-lt"/>
              <a:ea typeface="+mn-ea"/>
              <a:cs typeface="+mn-cs"/>
            </a:rPr>
            <a:t>平均値</a:t>
          </a:r>
          <a:r>
            <a:rPr kumimoji="1" lang="ja-JP" altLang="ja-JP" sz="1300">
              <a:solidFill>
                <a:schemeClr val="dk1"/>
              </a:solidFill>
              <a:effectLst/>
              <a:latin typeface="+mn-lt"/>
              <a:ea typeface="+mn-ea"/>
              <a:cs typeface="+mn-cs"/>
            </a:rPr>
            <a:t>より高くなっています。</a:t>
          </a:r>
          <a:r>
            <a:rPr kumimoji="1" lang="ja-JP" altLang="en-US" sz="1300">
              <a:solidFill>
                <a:schemeClr val="dk1"/>
              </a:solidFill>
              <a:effectLst/>
              <a:latin typeface="+mn-lt"/>
              <a:ea typeface="+mn-ea"/>
              <a:cs typeface="+mn-cs"/>
            </a:rPr>
            <a:t>今後も社会状況の変化等を踏まえ、</a:t>
          </a:r>
          <a:r>
            <a:rPr kumimoji="1" lang="ja-JP" altLang="ja-JP" sz="1300">
              <a:solidFill>
                <a:schemeClr val="dk1"/>
              </a:solidFill>
              <a:effectLst/>
              <a:latin typeface="+mn-lt"/>
              <a:ea typeface="+mn-ea"/>
              <a:cs typeface="+mn-cs"/>
            </a:rPr>
            <a:t>補助金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の見直しを継続的に取り組んでいきます。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3" name="直線コネクタ 302"/>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6"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7" name="直線コネクタ 306"/>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36</xdr:row>
      <xdr:rowOff>99786</xdr:rowOff>
    </xdr:to>
    <xdr:cxnSp macro="">
      <xdr:nvCxnSpPr>
        <xdr:cNvPr id="308" name="直線コネクタ 307"/>
        <xdr:cNvCxnSpPr/>
      </xdr:nvCxnSpPr>
      <xdr:spPr>
        <a:xfrm flipV="1">
          <a:off x="15671800" y="625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0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0" name="フローチャート : 判断 30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99786</xdr:rowOff>
    </xdr:from>
    <xdr:to>
      <xdr:col>22</xdr:col>
      <xdr:colOff>565150</xdr:colOff>
      <xdr:row>36</xdr:row>
      <xdr:rowOff>99786</xdr:rowOff>
    </xdr:to>
    <xdr:cxnSp macro="">
      <xdr:nvCxnSpPr>
        <xdr:cNvPr id="311" name="直線コネクタ 310"/>
        <xdr:cNvCxnSpPr/>
      </xdr:nvCxnSpPr>
      <xdr:spPr>
        <a:xfrm>
          <a:off x="14782800" y="627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2" name="フローチャート : 判断 311"/>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3" name="テキスト ボックス 312"/>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99786</xdr:rowOff>
    </xdr:from>
    <xdr:to>
      <xdr:col>21</xdr:col>
      <xdr:colOff>361950</xdr:colOff>
      <xdr:row>36</xdr:row>
      <xdr:rowOff>132443</xdr:rowOff>
    </xdr:to>
    <xdr:cxnSp macro="">
      <xdr:nvCxnSpPr>
        <xdr:cNvPr id="314" name="直線コネクタ 313"/>
        <xdr:cNvCxnSpPr/>
      </xdr:nvCxnSpPr>
      <xdr:spPr>
        <a:xfrm flipV="1">
          <a:off x="13893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5" name="フローチャート : 判断 314"/>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6" name="テキスト ボックス 315"/>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132443</xdr:rowOff>
    </xdr:from>
    <xdr:to>
      <xdr:col>20</xdr:col>
      <xdr:colOff>158750</xdr:colOff>
      <xdr:row>37</xdr:row>
      <xdr:rowOff>58964</xdr:rowOff>
    </xdr:to>
    <xdr:cxnSp macro="">
      <xdr:nvCxnSpPr>
        <xdr:cNvPr id="317" name="直線コネクタ 316"/>
        <xdr:cNvCxnSpPr/>
      </xdr:nvCxnSpPr>
      <xdr:spPr>
        <a:xfrm flipV="1">
          <a:off x="13004800" y="6304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18" name="フローチャート : 判断 317"/>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19" name="テキスト ボックス 318"/>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0" name="フローチャート : 判断 319"/>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128105</xdr:rowOff>
    </xdr:from>
    <xdr:ext cx="762000" cy="259045"/>
    <xdr:sp macro="" textlink="">
      <xdr:nvSpPr>
        <xdr:cNvPr id="321" name="テキスト ボックス 320"/>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macro="" textlink="">
      <xdr:nvSpPr>
        <xdr:cNvPr id="327" name="円/楕円 326"/>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170741</xdr:rowOff>
    </xdr:from>
    <xdr:ext cx="762000" cy="259045"/>
    <xdr:sp macro="" textlink="">
      <xdr:nvSpPr>
        <xdr:cNvPr id="328" name="補助費等該当値テキスト"/>
        <xdr:cNvSpPr txBox="1"/>
      </xdr:nvSpPr>
      <xdr:spPr>
        <a:xfrm>
          <a:off x="16598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48986</xdr:rowOff>
    </xdr:from>
    <xdr:to>
      <xdr:col>22</xdr:col>
      <xdr:colOff>615950</xdr:colOff>
      <xdr:row>36</xdr:row>
      <xdr:rowOff>150586</xdr:rowOff>
    </xdr:to>
    <xdr:sp macro="" textlink="">
      <xdr:nvSpPr>
        <xdr:cNvPr id="329" name="円/楕円 328"/>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135363</xdr:rowOff>
    </xdr:from>
    <xdr:ext cx="736600" cy="259045"/>
    <xdr:sp macro="" textlink="">
      <xdr:nvSpPr>
        <xdr:cNvPr id="330" name="テキスト ボックス 329"/>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48986</xdr:rowOff>
    </xdr:from>
    <xdr:to>
      <xdr:col>21</xdr:col>
      <xdr:colOff>412750</xdr:colOff>
      <xdr:row>36</xdr:row>
      <xdr:rowOff>150586</xdr:rowOff>
    </xdr:to>
    <xdr:sp macro="" textlink="">
      <xdr:nvSpPr>
        <xdr:cNvPr id="331" name="円/楕円 330"/>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135363</xdr:rowOff>
    </xdr:from>
    <xdr:ext cx="762000" cy="259045"/>
    <xdr:sp macro="" textlink="">
      <xdr:nvSpPr>
        <xdr:cNvPr id="332" name="テキスト ボックス 331"/>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81643</xdr:rowOff>
    </xdr:from>
    <xdr:to>
      <xdr:col>20</xdr:col>
      <xdr:colOff>209550</xdr:colOff>
      <xdr:row>37</xdr:row>
      <xdr:rowOff>11793</xdr:rowOff>
    </xdr:to>
    <xdr:sp macro="" textlink="">
      <xdr:nvSpPr>
        <xdr:cNvPr id="333" name="円/楕円 332"/>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168020</xdr:rowOff>
    </xdr:from>
    <xdr:ext cx="762000" cy="259045"/>
    <xdr:sp macro="" textlink="">
      <xdr:nvSpPr>
        <xdr:cNvPr id="334" name="テキスト ボックス 333"/>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35" name="円/楕円 334"/>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36" name="テキスト ボックス 335"/>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類似団体、全国及び京都府内平均値より低い水準となっています。</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市債全体の発行額は前年度から減少していますが、臨時財政対策債の発行額が依然として大きい</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、健全財政の堅持のため、引き続き適正な市債の発行に努めていきます</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0" name="直線コネクタ 359"/>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1"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2" name="直線コネクタ 361"/>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3"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4" name="直線コネクタ 363"/>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104140</xdr:rowOff>
    </xdr:from>
    <xdr:to>
      <xdr:col>7</xdr:col>
      <xdr:colOff>15875</xdr:colOff>
      <xdr:row>75</xdr:row>
      <xdr:rowOff>109855</xdr:rowOff>
    </xdr:to>
    <xdr:cxnSp macro="">
      <xdr:nvCxnSpPr>
        <xdr:cNvPr id="365" name="直線コネクタ 364"/>
        <xdr:cNvCxnSpPr/>
      </xdr:nvCxnSpPr>
      <xdr:spPr>
        <a:xfrm flipV="1">
          <a:off x="3987800" y="12962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6"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7" name="フローチャート : 判断 366"/>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98425</xdr:rowOff>
    </xdr:from>
    <xdr:to>
      <xdr:col>5</xdr:col>
      <xdr:colOff>549275</xdr:colOff>
      <xdr:row>75</xdr:row>
      <xdr:rowOff>109855</xdr:rowOff>
    </xdr:to>
    <xdr:cxnSp macro="">
      <xdr:nvCxnSpPr>
        <xdr:cNvPr id="368" name="直線コネクタ 367"/>
        <xdr:cNvCxnSpPr/>
      </xdr:nvCxnSpPr>
      <xdr:spPr>
        <a:xfrm>
          <a:off x="3098800" y="12957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69" name="フローチャート : 判断 368"/>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0" name="テキスト ボックス 369"/>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98425</xdr:rowOff>
    </xdr:to>
    <xdr:cxnSp macro="">
      <xdr:nvCxnSpPr>
        <xdr:cNvPr id="371" name="直線コネクタ 370"/>
        <xdr:cNvCxnSpPr/>
      </xdr:nvCxnSpPr>
      <xdr:spPr>
        <a:xfrm>
          <a:off x="2209800" y="12928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2" name="フローチャート : 判断 371"/>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3" name="テキスト ボックス 372"/>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138430</xdr:rowOff>
    </xdr:to>
    <xdr:cxnSp macro="">
      <xdr:nvCxnSpPr>
        <xdr:cNvPr id="374" name="直線コネクタ 373"/>
        <xdr:cNvCxnSpPr/>
      </xdr:nvCxnSpPr>
      <xdr:spPr>
        <a:xfrm flipV="1">
          <a:off x="1320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5" name="フローチャート : 判断 374"/>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6" name="テキスト ボックス 375"/>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7" name="フローチャート : 判断 376"/>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78" name="テキスト ボックス 37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53340</xdr:rowOff>
    </xdr:from>
    <xdr:to>
      <xdr:col>7</xdr:col>
      <xdr:colOff>66675</xdr:colOff>
      <xdr:row>75</xdr:row>
      <xdr:rowOff>154939</xdr:rowOff>
    </xdr:to>
    <xdr:sp macro="" textlink="">
      <xdr:nvSpPr>
        <xdr:cNvPr id="384" name="円/楕円 383"/>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69867</xdr:rowOff>
    </xdr:from>
    <xdr:ext cx="762000" cy="259045"/>
    <xdr:sp macro="" textlink="">
      <xdr:nvSpPr>
        <xdr:cNvPr id="385"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59055</xdr:rowOff>
    </xdr:from>
    <xdr:to>
      <xdr:col>5</xdr:col>
      <xdr:colOff>600075</xdr:colOff>
      <xdr:row>75</xdr:row>
      <xdr:rowOff>160655</xdr:rowOff>
    </xdr:to>
    <xdr:sp macro="" textlink="">
      <xdr:nvSpPr>
        <xdr:cNvPr id="386" name="円/楕円 385"/>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170832</xdr:rowOff>
    </xdr:from>
    <xdr:ext cx="736600" cy="259045"/>
    <xdr:sp macro="" textlink="">
      <xdr:nvSpPr>
        <xdr:cNvPr id="387" name="テキスト ボックス 386"/>
        <xdr:cNvSpPr txBox="1"/>
      </xdr:nvSpPr>
      <xdr:spPr>
        <a:xfrm>
          <a:off x="3606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47625</xdr:rowOff>
    </xdr:from>
    <xdr:to>
      <xdr:col>4</xdr:col>
      <xdr:colOff>396875</xdr:colOff>
      <xdr:row>75</xdr:row>
      <xdr:rowOff>149225</xdr:rowOff>
    </xdr:to>
    <xdr:sp macro="" textlink="">
      <xdr:nvSpPr>
        <xdr:cNvPr id="388" name="円/楕円 387"/>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159402</xdr:rowOff>
    </xdr:from>
    <xdr:ext cx="762000" cy="259045"/>
    <xdr:sp macro="" textlink="">
      <xdr:nvSpPr>
        <xdr:cNvPr id="389" name="テキスト ボックス 388"/>
        <xdr:cNvSpPr txBox="1"/>
      </xdr:nvSpPr>
      <xdr:spPr>
        <a:xfrm>
          <a:off x="2717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0" name="円/楕円 389"/>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91" name="テキスト ボックス 390"/>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2" name="円/楕円 391"/>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2557</xdr:rowOff>
    </xdr:from>
    <xdr:ext cx="762000" cy="259045"/>
    <xdr:sp macro="" textlink="">
      <xdr:nvSpPr>
        <xdr:cNvPr id="393" name="テキスト ボックス 392"/>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類似団体、全国及び京都府内平均値より高い値となっています。健全財政を堅持するため、今後も引き続き歳出の抑制に努めていきます。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19" name="直線コネクタ 418"/>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0"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1" name="直線コネクタ 420"/>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78</xdr:row>
      <xdr:rowOff>85852</xdr:rowOff>
    </xdr:to>
    <xdr:cxnSp macro="">
      <xdr:nvCxnSpPr>
        <xdr:cNvPr id="424" name="直線コネクタ 423"/>
        <xdr:cNvCxnSpPr/>
      </xdr:nvCxnSpPr>
      <xdr:spPr>
        <a:xfrm>
          <a:off x="15671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5"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6" name="フローチャート : 判断 42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44704</xdr:rowOff>
    </xdr:to>
    <xdr:cxnSp macro="">
      <xdr:nvCxnSpPr>
        <xdr:cNvPr id="427" name="直線コネクタ 426"/>
        <xdr:cNvCxnSpPr/>
      </xdr:nvCxnSpPr>
      <xdr:spPr>
        <a:xfrm>
          <a:off x="14782800" y="13358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28" name="フローチャート : 判断 427"/>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29" name="テキスト ボックス 42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77</xdr:row>
      <xdr:rowOff>156718</xdr:rowOff>
    </xdr:to>
    <xdr:cxnSp macro="">
      <xdr:nvCxnSpPr>
        <xdr:cNvPr id="430" name="直線コネクタ 429"/>
        <xdr:cNvCxnSpPr/>
      </xdr:nvCxnSpPr>
      <xdr:spPr>
        <a:xfrm>
          <a:off x="13893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1" name="フローチャート : 判断 430"/>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2" name="テキスト ボックス 431"/>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120142</xdr:rowOff>
    </xdr:from>
    <xdr:to>
      <xdr:col>20</xdr:col>
      <xdr:colOff>158750</xdr:colOff>
      <xdr:row>79</xdr:row>
      <xdr:rowOff>69850</xdr:rowOff>
    </xdr:to>
    <xdr:cxnSp macro="">
      <xdr:nvCxnSpPr>
        <xdr:cNvPr id="433" name="直線コネクタ 432"/>
        <xdr:cNvCxnSpPr/>
      </xdr:nvCxnSpPr>
      <xdr:spPr>
        <a:xfrm flipV="1">
          <a:off x="13004800" y="1332179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4" name="フローチャート :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5" name="テキスト ボックス 43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43" name="円/楕円 442"/>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44"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5" name="円/楕円 444"/>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46" name="テキスト ボックス 445"/>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47" name="円/楕円 446"/>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48" name="テキスト ボックス 447"/>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49" name="円/楕円 448"/>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0" name="テキスト ボックス 449"/>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19050</xdr:rowOff>
    </xdr:from>
    <xdr:to>
      <xdr:col>19</xdr:col>
      <xdr:colOff>6350</xdr:colOff>
      <xdr:row>79</xdr:row>
      <xdr:rowOff>120650</xdr:rowOff>
    </xdr:to>
    <xdr:sp macro="" textlink="">
      <xdr:nvSpPr>
        <xdr:cNvPr id="451" name="円/楕円 450"/>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105427</xdr:rowOff>
    </xdr:from>
    <xdr:ext cx="762000" cy="259045"/>
    <xdr:sp macro="" textlink="">
      <xdr:nvSpPr>
        <xdr:cNvPr id="452" name="テキスト ボックス 451"/>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94912</xdr:rowOff>
    </xdr:from>
    <xdr:to>
      <xdr:col>4</xdr:col>
      <xdr:colOff>1117600</xdr:colOff>
      <xdr:row>17</xdr:row>
      <xdr:rowOff>889</xdr:rowOff>
    </xdr:to>
    <xdr:cxnSp macro="">
      <xdr:nvCxnSpPr>
        <xdr:cNvPr id="48" name="直線コネクタ 47"/>
        <xdr:cNvCxnSpPr/>
      </xdr:nvCxnSpPr>
      <xdr:spPr bwMode="auto">
        <a:xfrm flipV="1">
          <a:off x="5003800" y="2885737"/>
          <a:ext cx="647700" cy="7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150599</xdr:rowOff>
    </xdr:from>
    <xdr:to>
      <xdr:col>4</xdr:col>
      <xdr:colOff>469900</xdr:colOff>
      <xdr:row>17</xdr:row>
      <xdr:rowOff>889</xdr:rowOff>
    </xdr:to>
    <xdr:cxnSp macro="">
      <xdr:nvCxnSpPr>
        <xdr:cNvPr id="51" name="直線コネクタ 50"/>
        <xdr:cNvCxnSpPr/>
      </xdr:nvCxnSpPr>
      <xdr:spPr bwMode="auto">
        <a:xfrm>
          <a:off x="4305300" y="2941424"/>
          <a:ext cx="6985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137043</xdr:rowOff>
    </xdr:from>
    <xdr:to>
      <xdr:col>3</xdr:col>
      <xdr:colOff>904875</xdr:colOff>
      <xdr:row>16</xdr:row>
      <xdr:rowOff>150599</xdr:rowOff>
    </xdr:to>
    <xdr:cxnSp macro="">
      <xdr:nvCxnSpPr>
        <xdr:cNvPr id="54" name="直線コネクタ 53"/>
        <xdr:cNvCxnSpPr/>
      </xdr:nvCxnSpPr>
      <xdr:spPr bwMode="auto">
        <a:xfrm>
          <a:off x="3606800" y="2927868"/>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117384</xdr:rowOff>
    </xdr:from>
    <xdr:to>
      <xdr:col>3</xdr:col>
      <xdr:colOff>206375</xdr:colOff>
      <xdr:row>16</xdr:row>
      <xdr:rowOff>137043</xdr:rowOff>
    </xdr:to>
    <xdr:cxnSp macro="">
      <xdr:nvCxnSpPr>
        <xdr:cNvPr id="57" name="直線コネクタ 56"/>
        <xdr:cNvCxnSpPr/>
      </xdr:nvCxnSpPr>
      <xdr:spPr bwMode="auto">
        <a:xfrm>
          <a:off x="2908300" y="2908209"/>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44112</xdr:rowOff>
    </xdr:from>
    <xdr:to>
      <xdr:col>5</xdr:col>
      <xdr:colOff>34925</xdr:colOff>
      <xdr:row>16</xdr:row>
      <xdr:rowOff>145712</xdr:rowOff>
    </xdr:to>
    <xdr:sp macro="" textlink="">
      <xdr:nvSpPr>
        <xdr:cNvPr id="67" name="円/楕円 66"/>
        <xdr:cNvSpPr/>
      </xdr:nvSpPr>
      <xdr:spPr bwMode="auto">
        <a:xfrm>
          <a:off x="5600700" y="283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60639</xdr:rowOff>
    </xdr:from>
    <xdr:ext cx="762000" cy="259045"/>
    <xdr:sp macro="" textlink="">
      <xdr:nvSpPr>
        <xdr:cNvPr id="68" name="人口1人当たり決算額の推移該当値テキスト130"/>
        <xdr:cNvSpPr txBox="1"/>
      </xdr:nvSpPr>
      <xdr:spPr>
        <a:xfrm>
          <a:off x="5740400" y="268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121539</xdr:rowOff>
    </xdr:from>
    <xdr:to>
      <xdr:col>4</xdr:col>
      <xdr:colOff>520700</xdr:colOff>
      <xdr:row>17</xdr:row>
      <xdr:rowOff>51689</xdr:rowOff>
    </xdr:to>
    <xdr:sp macro="" textlink="">
      <xdr:nvSpPr>
        <xdr:cNvPr id="69" name="円/楕円 68"/>
        <xdr:cNvSpPr/>
      </xdr:nvSpPr>
      <xdr:spPr bwMode="auto">
        <a:xfrm>
          <a:off x="4953000" y="29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61866</xdr:rowOff>
    </xdr:from>
    <xdr:ext cx="736600" cy="259045"/>
    <xdr:sp macro="" textlink="">
      <xdr:nvSpPr>
        <xdr:cNvPr id="70" name="テキスト ボックス 69"/>
        <xdr:cNvSpPr txBox="1"/>
      </xdr:nvSpPr>
      <xdr:spPr>
        <a:xfrm>
          <a:off x="4622800" y="268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99799</xdr:rowOff>
    </xdr:from>
    <xdr:to>
      <xdr:col>3</xdr:col>
      <xdr:colOff>955675</xdr:colOff>
      <xdr:row>17</xdr:row>
      <xdr:rowOff>29949</xdr:rowOff>
    </xdr:to>
    <xdr:sp macro="" textlink="">
      <xdr:nvSpPr>
        <xdr:cNvPr id="71" name="円/楕円 70"/>
        <xdr:cNvSpPr/>
      </xdr:nvSpPr>
      <xdr:spPr bwMode="auto">
        <a:xfrm>
          <a:off x="4254500" y="289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40126</xdr:rowOff>
    </xdr:from>
    <xdr:ext cx="762000" cy="259045"/>
    <xdr:sp macro="" textlink="">
      <xdr:nvSpPr>
        <xdr:cNvPr id="72" name="テキスト ボックス 71"/>
        <xdr:cNvSpPr txBox="1"/>
      </xdr:nvSpPr>
      <xdr:spPr>
        <a:xfrm>
          <a:off x="3924300" y="265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86243</xdr:rowOff>
    </xdr:from>
    <xdr:to>
      <xdr:col>3</xdr:col>
      <xdr:colOff>257175</xdr:colOff>
      <xdr:row>17</xdr:row>
      <xdr:rowOff>16393</xdr:rowOff>
    </xdr:to>
    <xdr:sp macro="" textlink="">
      <xdr:nvSpPr>
        <xdr:cNvPr id="73" name="円/楕円 72"/>
        <xdr:cNvSpPr/>
      </xdr:nvSpPr>
      <xdr:spPr bwMode="auto">
        <a:xfrm>
          <a:off x="3556000" y="287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1170</xdr:rowOff>
    </xdr:from>
    <xdr:ext cx="762000" cy="259045"/>
    <xdr:sp macro="" textlink="">
      <xdr:nvSpPr>
        <xdr:cNvPr id="74" name="テキスト ボックス 73"/>
        <xdr:cNvSpPr txBox="1"/>
      </xdr:nvSpPr>
      <xdr:spPr>
        <a:xfrm>
          <a:off x="3225800" y="296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66584</xdr:rowOff>
    </xdr:from>
    <xdr:to>
      <xdr:col>2</xdr:col>
      <xdr:colOff>692150</xdr:colOff>
      <xdr:row>16</xdr:row>
      <xdr:rowOff>168184</xdr:rowOff>
    </xdr:to>
    <xdr:sp macro="" textlink="">
      <xdr:nvSpPr>
        <xdr:cNvPr id="75" name="円/楕円 74"/>
        <xdr:cNvSpPr/>
      </xdr:nvSpPr>
      <xdr:spPr bwMode="auto">
        <a:xfrm>
          <a:off x="2857500" y="285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6911</xdr:rowOff>
    </xdr:from>
    <xdr:ext cx="762000" cy="259045"/>
    <xdr:sp macro="" textlink="">
      <xdr:nvSpPr>
        <xdr:cNvPr id="76" name="テキスト ボックス 75"/>
        <xdr:cNvSpPr txBox="1"/>
      </xdr:nvSpPr>
      <xdr:spPr>
        <a:xfrm>
          <a:off x="2527300" y="26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44247</xdr:rowOff>
    </xdr:from>
    <xdr:to>
      <xdr:col>4</xdr:col>
      <xdr:colOff>1117600</xdr:colOff>
      <xdr:row>37</xdr:row>
      <xdr:rowOff>57016</xdr:rowOff>
    </xdr:to>
    <xdr:cxnSp macro="">
      <xdr:nvCxnSpPr>
        <xdr:cNvPr id="111" name="直線コネクタ 110"/>
        <xdr:cNvCxnSpPr/>
      </xdr:nvCxnSpPr>
      <xdr:spPr bwMode="auto">
        <a:xfrm>
          <a:off x="5003800" y="7168947"/>
          <a:ext cx="647700" cy="1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7834</xdr:rowOff>
    </xdr:from>
    <xdr:to>
      <xdr:col>4</xdr:col>
      <xdr:colOff>469900</xdr:colOff>
      <xdr:row>37</xdr:row>
      <xdr:rowOff>44247</xdr:rowOff>
    </xdr:to>
    <xdr:cxnSp macro="">
      <xdr:nvCxnSpPr>
        <xdr:cNvPr id="114" name="直線コネクタ 113"/>
        <xdr:cNvCxnSpPr/>
      </xdr:nvCxnSpPr>
      <xdr:spPr bwMode="auto">
        <a:xfrm>
          <a:off x="4305300" y="7132534"/>
          <a:ext cx="6985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129612</xdr:rowOff>
    </xdr:from>
    <xdr:to>
      <xdr:col>3</xdr:col>
      <xdr:colOff>904875</xdr:colOff>
      <xdr:row>37</xdr:row>
      <xdr:rowOff>7834</xdr:rowOff>
    </xdr:to>
    <xdr:cxnSp macro="">
      <xdr:nvCxnSpPr>
        <xdr:cNvPr id="117" name="直線コネクタ 116"/>
        <xdr:cNvCxnSpPr/>
      </xdr:nvCxnSpPr>
      <xdr:spPr bwMode="auto">
        <a:xfrm>
          <a:off x="3606800" y="7082862"/>
          <a:ext cx="698500" cy="4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129612</xdr:rowOff>
    </xdr:from>
    <xdr:to>
      <xdr:col>3</xdr:col>
      <xdr:colOff>206375</xdr:colOff>
      <xdr:row>36</xdr:row>
      <xdr:rowOff>145418</xdr:rowOff>
    </xdr:to>
    <xdr:cxnSp macro="">
      <xdr:nvCxnSpPr>
        <xdr:cNvPr id="120" name="直線コネクタ 119"/>
        <xdr:cNvCxnSpPr/>
      </xdr:nvCxnSpPr>
      <xdr:spPr bwMode="auto">
        <a:xfrm flipV="1">
          <a:off x="2908300" y="7082862"/>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122989</xdr:rowOff>
    </xdr:from>
    <xdr:ext cx="762000" cy="259045"/>
    <xdr:sp macro="" textlink="">
      <xdr:nvSpPr>
        <xdr:cNvPr id="124" name="テキスト ボックス 123"/>
        <xdr:cNvSpPr txBox="1"/>
      </xdr:nvSpPr>
      <xdr:spPr>
        <a:xfrm>
          <a:off x="25273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6216</xdr:rowOff>
    </xdr:from>
    <xdr:to>
      <xdr:col>5</xdr:col>
      <xdr:colOff>34925</xdr:colOff>
      <xdr:row>37</xdr:row>
      <xdr:rowOff>107816</xdr:rowOff>
    </xdr:to>
    <xdr:sp macro="" textlink="">
      <xdr:nvSpPr>
        <xdr:cNvPr id="130" name="円/楕円 129"/>
        <xdr:cNvSpPr/>
      </xdr:nvSpPr>
      <xdr:spPr bwMode="auto">
        <a:xfrm>
          <a:off x="5600700" y="71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149743</xdr:rowOff>
    </xdr:from>
    <xdr:ext cx="762000" cy="259045"/>
    <xdr:sp macro="" textlink="">
      <xdr:nvSpPr>
        <xdr:cNvPr id="131" name="人口1人当たり決算額の推移該当値テキスト445"/>
        <xdr:cNvSpPr txBox="1"/>
      </xdr:nvSpPr>
      <xdr:spPr>
        <a:xfrm>
          <a:off x="5740400" y="710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164897</xdr:rowOff>
    </xdr:from>
    <xdr:to>
      <xdr:col>4</xdr:col>
      <xdr:colOff>520700</xdr:colOff>
      <xdr:row>37</xdr:row>
      <xdr:rowOff>95047</xdr:rowOff>
    </xdr:to>
    <xdr:sp macro="" textlink="">
      <xdr:nvSpPr>
        <xdr:cNvPr id="132" name="円/楕円 131"/>
        <xdr:cNvSpPr/>
      </xdr:nvSpPr>
      <xdr:spPr bwMode="auto">
        <a:xfrm>
          <a:off x="4953000" y="711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79824</xdr:rowOff>
    </xdr:from>
    <xdr:ext cx="736600" cy="259045"/>
    <xdr:sp macro="" textlink="">
      <xdr:nvSpPr>
        <xdr:cNvPr id="133" name="テキスト ボックス 132"/>
        <xdr:cNvSpPr txBox="1"/>
      </xdr:nvSpPr>
      <xdr:spPr>
        <a:xfrm>
          <a:off x="4622800" y="720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128484</xdr:rowOff>
    </xdr:from>
    <xdr:to>
      <xdr:col>3</xdr:col>
      <xdr:colOff>955675</xdr:colOff>
      <xdr:row>37</xdr:row>
      <xdr:rowOff>58634</xdr:rowOff>
    </xdr:to>
    <xdr:sp macro="" textlink="">
      <xdr:nvSpPr>
        <xdr:cNvPr id="134" name="円/楕円 133"/>
        <xdr:cNvSpPr/>
      </xdr:nvSpPr>
      <xdr:spPr bwMode="auto">
        <a:xfrm>
          <a:off x="42545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43411</xdr:rowOff>
    </xdr:from>
    <xdr:ext cx="762000" cy="259045"/>
    <xdr:sp macro="" textlink="">
      <xdr:nvSpPr>
        <xdr:cNvPr id="135" name="テキスト ボックス 134"/>
        <xdr:cNvSpPr txBox="1"/>
      </xdr:nvSpPr>
      <xdr:spPr>
        <a:xfrm>
          <a:off x="3924300" y="716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78812</xdr:rowOff>
    </xdr:from>
    <xdr:to>
      <xdr:col>3</xdr:col>
      <xdr:colOff>257175</xdr:colOff>
      <xdr:row>37</xdr:row>
      <xdr:rowOff>8962</xdr:rowOff>
    </xdr:to>
    <xdr:sp macro="" textlink="">
      <xdr:nvSpPr>
        <xdr:cNvPr id="136" name="円/楕円 135"/>
        <xdr:cNvSpPr/>
      </xdr:nvSpPr>
      <xdr:spPr bwMode="auto">
        <a:xfrm>
          <a:off x="3556000" y="703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165189</xdr:rowOff>
    </xdr:from>
    <xdr:ext cx="762000" cy="259045"/>
    <xdr:sp macro="" textlink="">
      <xdr:nvSpPr>
        <xdr:cNvPr id="137" name="テキスト ボックス 136"/>
        <xdr:cNvSpPr txBox="1"/>
      </xdr:nvSpPr>
      <xdr:spPr>
        <a:xfrm>
          <a:off x="3225800" y="711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94618</xdr:rowOff>
    </xdr:from>
    <xdr:to>
      <xdr:col>2</xdr:col>
      <xdr:colOff>692150</xdr:colOff>
      <xdr:row>37</xdr:row>
      <xdr:rowOff>24768</xdr:rowOff>
    </xdr:to>
    <xdr:sp macro="" textlink="">
      <xdr:nvSpPr>
        <xdr:cNvPr id="138" name="円/楕円 137"/>
        <xdr:cNvSpPr/>
      </xdr:nvSpPr>
      <xdr:spPr bwMode="auto">
        <a:xfrm>
          <a:off x="2857500" y="704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9545</xdr:rowOff>
    </xdr:from>
    <xdr:ext cx="762000" cy="259045"/>
    <xdr:sp macro="" textlink="">
      <xdr:nvSpPr>
        <xdr:cNvPr id="139" name="テキスト ボックス 138"/>
        <xdr:cNvSpPr txBox="1"/>
      </xdr:nvSpPr>
      <xdr:spPr>
        <a:xfrm>
          <a:off x="2527300" y="713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市有財産の売払などにより得た財産収入を財政調整基金に積み立てたため、財政調整基金現在高は前年度</a:t>
          </a:r>
          <a:r>
            <a:rPr kumimoji="1" lang="en-US" altLang="ja-JP" sz="1300">
              <a:solidFill>
                <a:schemeClr val="dk1"/>
              </a:solidFill>
              <a:effectLst/>
              <a:latin typeface="+mn-lt"/>
              <a:ea typeface="+mn-ea"/>
              <a:cs typeface="+mn-cs"/>
            </a:rPr>
            <a:t>0.44</a:t>
          </a:r>
          <a:r>
            <a:rPr kumimoji="1" lang="ja-JP" altLang="en-US" sz="1300">
              <a:solidFill>
                <a:schemeClr val="dk1"/>
              </a:solidFill>
              <a:effectLst/>
              <a:latin typeface="+mn-lt"/>
              <a:ea typeface="+mn-ea"/>
              <a:cs typeface="+mn-cs"/>
            </a:rPr>
            <a:t>ポイント増加している。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介護保険事業特別会計において黒字額が前年度比</a:t>
          </a:r>
          <a:r>
            <a:rPr kumimoji="1" lang="en-US" altLang="ja-JP" sz="1300">
              <a:solidFill>
                <a:schemeClr val="dk1"/>
              </a:solidFill>
              <a:effectLst/>
              <a:latin typeface="+mn-lt"/>
              <a:ea typeface="+mn-ea"/>
              <a:cs typeface="+mn-cs"/>
            </a:rPr>
            <a:t>0.45</a:t>
          </a:r>
          <a:r>
            <a:rPr kumimoji="1" lang="ja-JP" altLang="en-US" sz="1300">
              <a:solidFill>
                <a:schemeClr val="dk1"/>
              </a:solidFill>
              <a:effectLst/>
              <a:latin typeface="+mn-lt"/>
              <a:ea typeface="+mn-ea"/>
              <a:cs typeface="+mn-cs"/>
            </a:rPr>
            <a:t>ポイント増加していますが、</a:t>
          </a:r>
          <a:r>
            <a:rPr kumimoji="1" lang="ja-JP" altLang="ja-JP" sz="1300">
              <a:solidFill>
                <a:schemeClr val="dk1"/>
              </a:solidFill>
              <a:effectLst/>
              <a:latin typeface="+mn-lt"/>
              <a:ea typeface="+mn-ea"/>
              <a:cs typeface="+mn-cs"/>
            </a:rPr>
            <a:t>国民健康保険事業特別会計において黒字額が前年度比</a:t>
          </a:r>
          <a:r>
            <a:rPr kumimoji="1" lang="en-US" altLang="ja-JP" sz="1300">
              <a:solidFill>
                <a:schemeClr val="dk1"/>
              </a:solidFill>
              <a:effectLst/>
              <a:latin typeface="+mn-lt"/>
              <a:ea typeface="+mn-ea"/>
              <a:cs typeface="+mn-cs"/>
            </a:rPr>
            <a:t>0.47</a:t>
          </a:r>
          <a:r>
            <a:rPr kumimoji="1" lang="ja-JP" altLang="ja-JP" sz="1300">
              <a:solidFill>
                <a:schemeClr val="dk1"/>
              </a:solidFill>
              <a:effectLst/>
              <a:latin typeface="+mn-lt"/>
              <a:ea typeface="+mn-ea"/>
              <a:cs typeface="+mn-cs"/>
            </a:rPr>
            <a:t>ポイント減少したこと、</a:t>
          </a:r>
          <a:r>
            <a:rPr kumimoji="1" lang="ja-JP" altLang="en-US" sz="1300">
              <a:solidFill>
                <a:schemeClr val="dk1"/>
              </a:solidFill>
              <a:effectLst/>
              <a:latin typeface="+mn-lt"/>
              <a:ea typeface="+mn-ea"/>
              <a:cs typeface="+mn-cs"/>
            </a:rPr>
            <a:t>また、公共下水道事業特別会計において</a:t>
          </a:r>
          <a:r>
            <a:rPr kumimoji="1" lang="en-US" altLang="ja-JP" sz="1300">
              <a:solidFill>
                <a:schemeClr val="dk1"/>
              </a:solidFill>
              <a:effectLst/>
              <a:latin typeface="+mn-lt"/>
              <a:ea typeface="+mn-ea"/>
              <a:cs typeface="+mn-cs"/>
            </a:rPr>
            <a:t>1.05</a:t>
          </a:r>
          <a:r>
            <a:rPr kumimoji="1" lang="ja-JP" altLang="en-US" sz="1300">
              <a:solidFill>
                <a:schemeClr val="dk1"/>
              </a:solidFill>
              <a:effectLst/>
              <a:latin typeface="+mn-lt"/>
              <a:ea typeface="+mn-ea"/>
              <a:cs typeface="+mn-cs"/>
            </a:rPr>
            <a:t>ポイント増加したこと等により、</a:t>
          </a:r>
          <a:r>
            <a:rPr kumimoji="1" lang="ja-JP" altLang="ja-JP" sz="1300">
              <a:solidFill>
                <a:schemeClr val="dk1"/>
              </a:solidFill>
              <a:effectLst/>
              <a:latin typeface="+mn-lt"/>
              <a:ea typeface="+mn-ea"/>
              <a:cs typeface="+mn-cs"/>
            </a:rPr>
            <a:t>全体で前年度比</a:t>
          </a:r>
          <a:r>
            <a:rPr kumimoji="1" lang="en-US" altLang="ja-JP" sz="1300">
              <a:solidFill>
                <a:schemeClr val="dk1"/>
              </a:solidFill>
              <a:effectLst/>
              <a:latin typeface="+mn-lt"/>
              <a:ea typeface="+mn-ea"/>
              <a:cs typeface="+mn-cs"/>
            </a:rPr>
            <a:t>1.01</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となっています。</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全体の黒字額は標準財政規模対比で</a:t>
          </a:r>
          <a:r>
            <a:rPr kumimoji="1" lang="en-US" altLang="ja-JP" sz="1300">
              <a:solidFill>
                <a:schemeClr val="dk1"/>
              </a:solidFill>
              <a:effectLst/>
              <a:latin typeface="+mn-lt"/>
              <a:ea typeface="+mn-ea"/>
              <a:cs typeface="+mn-cs"/>
            </a:rPr>
            <a:t>10.65</a:t>
          </a:r>
          <a:r>
            <a:rPr kumimoji="1" lang="ja-JP" altLang="ja-JP" sz="1300">
              <a:solidFill>
                <a:schemeClr val="dk1"/>
              </a:solidFill>
              <a:effectLst/>
              <a:latin typeface="+mn-lt"/>
              <a:ea typeface="+mn-ea"/>
              <a:cs typeface="+mn-cs"/>
            </a:rPr>
            <a:t>％となっています。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（Ａ）普通会計における元利償還金は</a:t>
          </a:r>
          <a:r>
            <a:rPr kumimoji="1" lang="en-US" altLang="ja-JP" sz="1300">
              <a:latin typeface="ＭＳ Ｐゴシック" pitchFamily="50" charset="-128"/>
              <a:ea typeface="ＭＳ Ｐゴシック" pitchFamily="50" charset="-128"/>
            </a:rPr>
            <a:t>1.0</a:t>
          </a:r>
          <a:r>
            <a:rPr kumimoji="1" lang="ja-JP" altLang="en-US" sz="1300">
              <a:latin typeface="ＭＳ Ｐゴシック" pitchFamily="50" charset="-128"/>
              <a:ea typeface="ＭＳ Ｐゴシック" pitchFamily="50" charset="-128"/>
            </a:rPr>
            <a:t>億円増加しました。</a:t>
          </a:r>
        </a:p>
        <a:p>
          <a:r>
            <a:rPr kumimoji="1" lang="ja-JP" altLang="en-US" sz="1300">
              <a:latin typeface="ＭＳ Ｐゴシック" pitchFamily="50" charset="-128"/>
              <a:ea typeface="ＭＳ Ｐゴシック" pitchFamily="50" charset="-128"/>
            </a:rPr>
            <a:t>また、債務負担行為に基づく支出額は前年度から</a:t>
          </a:r>
          <a:r>
            <a:rPr kumimoji="1" lang="en-US" altLang="ja-JP" sz="1300">
              <a:latin typeface="ＭＳ Ｐゴシック" pitchFamily="50" charset="-128"/>
              <a:ea typeface="ＭＳ Ｐゴシック" pitchFamily="50" charset="-128"/>
            </a:rPr>
            <a:t>0.4</a:t>
          </a:r>
          <a:r>
            <a:rPr kumimoji="1" lang="ja-JP" altLang="en-US" sz="1300">
              <a:latin typeface="ＭＳ Ｐゴシック" pitchFamily="50" charset="-128"/>
              <a:ea typeface="ＭＳ Ｐゴシック" pitchFamily="50" charset="-128"/>
            </a:rPr>
            <a:t>億円減少しました。</a:t>
          </a:r>
        </a:p>
        <a:p>
          <a:endParaRPr kumimoji="1" lang="ja-JP" altLang="en-US"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（Ｂ）特定財源や交付税算入公債費の増加に伴い、算入公債費等の値は前年度から</a:t>
          </a:r>
          <a:r>
            <a:rPr kumimoji="1" lang="en-US" altLang="ja-JP" sz="1300">
              <a:latin typeface="ＭＳ Ｐゴシック" pitchFamily="50" charset="-128"/>
              <a:ea typeface="ＭＳ Ｐゴシック" pitchFamily="50" charset="-128"/>
            </a:rPr>
            <a:t>2.6</a:t>
          </a:r>
          <a:r>
            <a:rPr kumimoji="1" lang="ja-JP" altLang="en-US" sz="1300">
              <a:latin typeface="ＭＳ Ｐゴシック" pitchFamily="50" charset="-128"/>
              <a:ea typeface="ＭＳ Ｐゴシック" pitchFamily="50" charset="-128"/>
            </a:rPr>
            <a:t>億円増加しました。</a:t>
          </a:r>
        </a:p>
        <a:p>
          <a:endParaRPr kumimoji="1" lang="ja-JP" altLang="en-US"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以上により、実質公債費比率の分子は前年度から</a:t>
          </a:r>
          <a:r>
            <a:rPr kumimoji="1" lang="en-US" altLang="ja-JP" sz="1300">
              <a:latin typeface="ＭＳ Ｐゴシック" pitchFamily="50" charset="-128"/>
              <a:ea typeface="ＭＳ Ｐゴシック" pitchFamily="50" charset="-128"/>
            </a:rPr>
            <a:t>0.8</a:t>
          </a:r>
          <a:r>
            <a:rPr kumimoji="1" lang="ja-JP" altLang="en-US" sz="1300">
              <a:latin typeface="ＭＳ Ｐゴシック" pitchFamily="50" charset="-128"/>
              <a:ea typeface="ＭＳ Ｐゴシック" pitchFamily="50" charset="-128"/>
            </a:rPr>
            <a:t>億円の減となっています。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（Ａ）前年度比で公営企業債等繰入見込額、</a:t>
          </a:r>
          <a:r>
            <a:rPr kumimoji="1" lang="ja-JP" altLang="en-US" sz="1300">
              <a:solidFill>
                <a:schemeClr val="dk1"/>
              </a:solidFill>
              <a:effectLst/>
              <a:latin typeface="+mn-lt"/>
              <a:ea typeface="+mn-ea"/>
              <a:cs typeface="+mn-cs"/>
            </a:rPr>
            <a:t>退職手当負担見込額</a:t>
          </a:r>
          <a:r>
            <a:rPr kumimoji="1" lang="ja-JP" altLang="ja-JP" sz="1300">
              <a:solidFill>
                <a:schemeClr val="dk1"/>
              </a:solidFill>
              <a:effectLst/>
              <a:latin typeface="+mn-lt"/>
              <a:ea typeface="+mn-ea"/>
              <a:cs typeface="+mn-cs"/>
            </a:rPr>
            <a:t>等が減少しましたが、地方債現在高は</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億円増加しているため、将来負担額の合計は前年度比約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億円増の</a:t>
          </a:r>
          <a:r>
            <a:rPr kumimoji="1" lang="en-US" altLang="ja-JP" sz="1300">
              <a:solidFill>
                <a:schemeClr val="dk1"/>
              </a:solidFill>
              <a:effectLst/>
              <a:latin typeface="+mn-lt"/>
              <a:ea typeface="+mn-ea"/>
              <a:cs typeface="+mn-cs"/>
            </a:rPr>
            <a:t>798</a:t>
          </a:r>
          <a:r>
            <a:rPr kumimoji="1" lang="ja-JP" altLang="ja-JP" sz="1300">
              <a:solidFill>
                <a:schemeClr val="dk1"/>
              </a:solidFill>
              <a:effectLst/>
              <a:latin typeface="+mn-lt"/>
              <a:ea typeface="+mn-ea"/>
              <a:cs typeface="+mn-cs"/>
            </a:rPr>
            <a:t>億円となりました。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（Ｂ）財政調整基金の積み立て等により充当可能基金が</a:t>
          </a:r>
          <a:r>
            <a:rPr kumimoji="1" lang="en-US" altLang="ja-JP" sz="1300">
              <a:solidFill>
                <a:schemeClr val="dk1"/>
              </a:solidFill>
              <a:effectLst/>
              <a:latin typeface="+mn-lt"/>
              <a:ea typeface="+mn-ea"/>
              <a:cs typeface="+mn-cs"/>
            </a:rPr>
            <a:t>4.9</a:t>
          </a:r>
          <a:r>
            <a:rPr kumimoji="1" lang="ja-JP" altLang="ja-JP" sz="1300">
              <a:solidFill>
                <a:schemeClr val="dk1"/>
              </a:solidFill>
              <a:effectLst/>
              <a:latin typeface="+mn-lt"/>
              <a:ea typeface="+mn-ea"/>
              <a:cs typeface="+mn-cs"/>
            </a:rPr>
            <a:t>億円の増となり、基準財政需要額算入見込額が</a:t>
          </a:r>
          <a:r>
            <a:rPr kumimoji="1" lang="en-US" altLang="ja-JP" sz="1300">
              <a:solidFill>
                <a:schemeClr val="dk1"/>
              </a:solidFill>
              <a:effectLst/>
              <a:latin typeface="+mn-lt"/>
              <a:ea typeface="+mn-ea"/>
              <a:cs typeface="+mn-cs"/>
            </a:rPr>
            <a:t>24.0</a:t>
          </a:r>
          <a:r>
            <a:rPr kumimoji="1" lang="ja-JP" altLang="ja-JP" sz="1300">
              <a:solidFill>
                <a:schemeClr val="dk1"/>
              </a:solidFill>
              <a:effectLst/>
              <a:latin typeface="+mn-lt"/>
              <a:ea typeface="+mn-ea"/>
              <a:cs typeface="+mn-cs"/>
            </a:rPr>
            <a:t>億円増加したため、全体で前年度比</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億円増の</a:t>
          </a:r>
          <a:r>
            <a:rPr kumimoji="1" lang="en-US" altLang="ja-JP" sz="1300">
              <a:solidFill>
                <a:schemeClr val="dk1"/>
              </a:solidFill>
              <a:effectLst/>
              <a:latin typeface="+mn-lt"/>
              <a:ea typeface="+mn-ea"/>
              <a:cs typeface="+mn-cs"/>
            </a:rPr>
            <a:t>896</a:t>
          </a:r>
          <a:r>
            <a:rPr kumimoji="1" lang="ja-JP" altLang="ja-JP" sz="1300">
              <a:solidFill>
                <a:schemeClr val="dk1"/>
              </a:solidFill>
              <a:effectLst/>
              <a:latin typeface="+mn-lt"/>
              <a:ea typeface="+mn-ea"/>
              <a:cs typeface="+mn-cs"/>
            </a:rPr>
            <a:t>億円となりました。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以上により、将来負担比率の分子は▲</a:t>
          </a:r>
          <a:r>
            <a:rPr kumimoji="1" lang="en-US" altLang="ja-JP" sz="1300">
              <a:solidFill>
                <a:schemeClr val="dk1"/>
              </a:solidFill>
              <a:effectLst/>
              <a:latin typeface="+mn-lt"/>
              <a:ea typeface="+mn-ea"/>
              <a:cs typeface="+mn-cs"/>
            </a:rPr>
            <a:t>98</a:t>
          </a:r>
          <a:r>
            <a:rPr kumimoji="1" lang="ja-JP" altLang="ja-JP" sz="1300">
              <a:solidFill>
                <a:schemeClr val="dk1"/>
              </a:solidFill>
              <a:effectLst/>
              <a:latin typeface="+mn-lt"/>
              <a:ea typeface="+mn-ea"/>
              <a:cs typeface="+mn-cs"/>
            </a:rPr>
            <a:t>億円となり、充当可能財源等が将来負担額を上回ったため、将来負担比率は算出されませんでした</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60726462</v>
      </c>
      <c r="BO4" s="349"/>
      <c r="BP4" s="349"/>
      <c r="BQ4" s="349"/>
      <c r="BR4" s="349"/>
      <c r="BS4" s="349"/>
      <c r="BT4" s="349"/>
      <c r="BU4" s="350"/>
      <c r="BV4" s="348">
        <v>60828181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60274770</v>
      </c>
      <c r="BO5" s="386"/>
      <c r="BP5" s="386"/>
      <c r="BQ5" s="386"/>
      <c r="BR5" s="386"/>
      <c r="BS5" s="386"/>
      <c r="BT5" s="386"/>
      <c r="BU5" s="387"/>
      <c r="BV5" s="385">
        <v>60211053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93.7</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451692</v>
      </c>
      <c r="BO6" s="386"/>
      <c r="BP6" s="386"/>
      <c r="BQ6" s="386"/>
      <c r="BR6" s="386"/>
      <c r="BS6" s="386"/>
      <c r="BT6" s="386"/>
      <c r="BU6" s="387"/>
      <c r="BV6" s="385">
        <v>617128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104.3</v>
      </c>
      <c r="CU6" s="423"/>
      <c r="CV6" s="423"/>
      <c r="CW6" s="423"/>
      <c r="CX6" s="423"/>
      <c r="CY6" s="423"/>
      <c r="CZ6" s="423"/>
      <c r="DA6" s="424"/>
      <c r="DB6" s="422">
        <v>103.9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158480</v>
      </c>
      <c r="BO7" s="386"/>
      <c r="BP7" s="386"/>
      <c r="BQ7" s="386"/>
      <c r="BR7" s="386"/>
      <c r="BS7" s="386"/>
      <c r="BT7" s="386"/>
      <c r="BU7" s="387"/>
      <c r="BV7" s="385">
        <v>306597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34297869</v>
      </c>
      <c r="CU7" s="386"/>
      <c r="CV7" s="386"/>
      <c r="CW7" s="386"/>
      <c r="CX7" s="386"/>
      <c r="CY7" s="386"/>
      <c r="CZ7" s="386"/>
      <c r="DA7" s="387"/>
      <c r="DB7" s="385">
        <v>34170629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293212</v>
      </c>
      <c r="BO8" s="386"/>
      <c r="BP8" s="386"/>
      <c r="BQ8" s="386"/>
      <c r="BR8" s="386"/>
      <c r="BS8" s="386"/>
      <c r="BT8" s="386"/>
      <c r="BU8" s="387"/>
      <c r="BV8" s="385">
        <v>310531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189609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-17319</v>
      </c>
      <c r="BO9" s="386"/>
      <c r="BP9" s="386"/>
      <c r="BQ9" s="386"/>
      <c r="BR9" s="386"/>
      <c r="BS9" s="386"/>
      <c r="BT9" s="386"/>
      <c r="BU9" s="387"/>
      <c r="BV9" s="385">
        <v>-31077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189591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150566</v>
      </c>
      <c r="BO10" s="386"/>
      <c r="BP10" s="386"/>
      <c r="BQ10" s="386"/>
      <c r="BR10" s="386"/>
      <c r="BS10" s="386"/>
      <c r="BT10" s="386"/>
      <c r="BU10" s="387"/>
      <c r="BV10" s="385">
        <v>205405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190856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188242</v>
      </c>
      <c r="S13" s="467"/>
      <c r="T13" s="467"/>
      <c r="U13" s="467"/>
      <c r="V13" s="468"/>
      <c r="W13" s="401" t="s">
        <v>122</v>
      </c>
      <c r="X13" s="402"/>
      <c r="Y13" s="402"/>
      <c r="Z13" s="402"/>
      <c r="AA13" s="402"/>
      <c r="AB13" s="392"/>
      <c r="AC13" s="436">
        <v>496</v>
      </c>
      <c r="AD13" s="437"/>
      <c r="AE13" s="437"/>
      <c r="AF13" s="437"/>
      <c r="AG13" s="476"/>
      <c r="AH13" s="436">
        <v>533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133247</v>
      </c>
      <c r="BO13" s="386"/>
      <c r="BP13" s="386"/>
      <c r="BQ13" s="386"/>
      <c r="BR13" s="386"/>
      <c r="BS13" s="386"/>
      <c r="BT13" s="386"/>
      <c r="BU13" s="387"/>
      <c r="BV13" s="385">
        <v>174328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2.4</v>
      </c>
      <c r="CU13" s="383"/>
      <c r="CV13" s="383"/>
      <c r="CW13" s="383"/>
      <c r="CX13" s="383"/>
      <c r="CY13" s="383"/>
      <c r="CZ13" s="383"/>
      <c r="DA13" s="384"/>
      <c r="DB13" s="382">
        <v>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191802</v>
      </c>
      <c r="S14" s="467"/>
      <c r="T14" s="467"/>
      <c r="U14" s="467"/>
      <c r="V14" s="468"/>
      <c r="W14" s="375"/>
      <c r="X14" s="376"/>
      <c r="Y14" s="376"/>
      <c r="Z14" s="376"/>
      <c r="AA14" s="376"/>
      <c r="AB14" s="365"/>
      <c r="AC14" s="469">
        <v>0.6</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189189</v>
      </c>
      <c r="S15" s="467"/>
      <c r="T15" s="467"/>
      <c r="U15" s="467"/>
      <c r="V15" s="468"/>
      <c r="W15" s="401" t="s">
        <v>129</v>
      </c>
      <c r="X15" s="402"/>
      <c r="Y15" s="402"/>
      <c r="Z15" s="402"/>
      <c r="AA15" s="402"/>
      <c r="AB15" s="392"/>
      <c r="AC15" s="436">
        <v>20332</v>
      </c>
      <c r="AD15" s="437"/>
      <c r="AE15" s="437"/>
      <c r="AF15" s="437"/>
      <c r="AG15" s="476"/>
      <c r="AH15" s="436">
        <v>24219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18735597</v>
      </c>
      <c r="BO15" s="349"/>
      <c r="BP15" s="349"/>
      <c r="BQ15" s="349"/>
      <c r="BR15" s="349"/>
      <c r="BS15" s="349"/>
      <c r="BT15" s="349"/>
      <c r="BU15" s="350"/>
      <c r="BV15" s="348">
        <v>18037391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26.6</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25251285</v>
      </c>
      <c r="BO16" s="386"/>
      <c r="BP16" s="386"/>
      <c r="BQ16" s="386"/>
      <c r="BR16" s="386"/>
      <c r="BS16" s="386"/>
      <c r="BT16" s="386"/>
      <c r="BU16" s="387"/>
      <c r="BV16" s="385">
        <v>24416799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55538</v>
      </c>
      <c r="AD17" s="437"/>
      <c r="AE17" s="437"/>
      <c r="AF17" s="437"/>
      <c r="AG17" s="476"/>
      <c r="AH17" s="436">
        <v>59560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24074598</v>
      </c>
      <c r="BO17" s="386"/>
      <c r="BP17" s="386"/>
      <c r="BQ17" s="386"/>
      <c r="BR17" s="386"/>
      <c r="BS17" s="386"/>
      <c r="BT17" s="386"/>
      <c r="BU17" s="387"/>
      <c r="BV17" s="385">
        <v>23399911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67.540000000000006</v>
      </c>
      <c r="M18" s="498"/>
      <c r="N18" s="498"/>
      <c r="O18" s="498"/>
      <c r="P18" s="498"/>
      <c r="Q18" s="498"/>
      <c r="R18" s="499"/>
      <c r="S18" s="499"/>
      <c r="T18" s="499"/>
      <c r="U18" s="499"/>
      <c r="V18" s="500"/>
      <c r="W18" s="403"/>
      <c r="X18" s="404"/>
      <c r="Y18" s="404"/>
      <c r="Z18" s="404"/>
      <c r="AA18" s="404"/>
      <c r="AB18" s="395"/>
      <c r="AC18" s="501">
        <v>72.7</v>
      </c>
      <c r="AD18" s="502"/>
      <c r="AE18" s="502"/>
      <c r="AF18" s="502"/>
      <c r="AG18" s="503"/>
      <c r="AH18" s="501">
        <v>68.599999999999994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33541746</v>
      </c>
      <c r="BO18" s="386"/>
      <c r="BP18" s="386"/>
      <c r="BQ18" s="386"/>
      <c r="BR18" s="386"/>
      <c r="BS18" s="386"/>
      <c r="BT18" s="386"/>
      <c r="BU18" s="387"/>
      <c r="BV18" s="385">
        <v>32437972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2807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38816630</v>
      </c>
      <c r="BO19" s="386"/>
      <c r="BP19" s="386"/>
      <c r="BQ19" s="386"/>
      <c r="BR19" s="386"/>
      <c r="BS19" s="386"/>
      <c r="BT19" s="386"/>
      <c r="BU19" s="387"/>
      <c r="BV19" s="385">
        <v>38606788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72907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45759857</v>
      </c>
      <c r="BO23" s="386"/>
      <c r="BP23" s="386"/>
      <c r="BQ23" s="386"/>
      <c r="BR23" s="386"/>
      <c r="BS23" s="386"/>
      <c r="BT23" s="386"/>
      <c r="BU23" s="387"/>
      <c r="BV23" s="385">
        <v>45154446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10650</v>
      </c>
      <c r="R24" s="437"/>
      <c r="S24" s="437"/>
      <c r="T24" s="437"/>
      <c r="U24" s="437"/>
      <c r="V24" s="476"/>
      <c r="W24" s="531"/>
      <c r="X24" s="519"/>
      <c r="Y24" s="520"/>
      <c r="Z24" s="435" t="s">
        <v>152</v>
      </c>
      <c r="AA24" s="415"/>
      <c r="AB24" s="415"/>
      <c r="AC24" s="415"/>
      <c r="AD24" s="415"/>
      <c r="AE24" s="415"/>
      <c r="AF24" s="415"/>
      <c r="AG24" s="416"/>
      <c r="AH24" s="436">
        <v>1231</v>
      </c>
      <c r="AI24" s="437"/>
      <c r="AJ24" s="437"/>
      <c r="AK24" s="437"/>
      <c r="AL24" s="476"/>
      <c r="AM24" s="436">
        <v>3817331</v>
      </c>
      <c r="AN24" s="437"/>
      <c r="AO24" s="437"/>
      <c r="AP24" s="437"/>
      <c r="AQ24" s="437"/>
      <c r="AR24" s="476"/>
      <c r="AS24" s="436">
        <v>3101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27530453</v>
      </c>
      <c r="BO24" s="386"/>
      <c r="BP24" s="386"/>
      <c r="BQ24" s="386"/>
      <c r="BR24" s="386"/>
      <c r="BS24" s="386"/>
      <c r="BT24" s="386"/>
      <c r="BU24" s="387"/>
      <c r="BV24" s="385">
        <v>27574723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8850</v>
      </c>
      <c r="R25" s="437"/>
      <c r="S25" s="437"/>
      <c r="T25" s="437"/>
      <c r="U25" s="437"/>
      <c r="V25" s="476"/>
      <c r="W25" s="531"/>
      <c r="X25" s="519"/>
      <c r="Y25" s="520"/>
      <c r="Z25" s="435" t="s">
        <v>155</v>
      </c>
      <c r="AA25" s="415"/>
      <c r="AB25" s="415"/>
      <c r="AC25" s="415"/>
      <c r="AD25" s="415"/>
      <c r="AE25" s="415"/>
      <c r="AF25" s="415"/>
      <c r="AG25" s="416"/>
      <c r="AH25" s="436">
        <v>204</v>
      </c>
      <c r="AI25" s="437"/>
      <c r="AJ25" s="437"/>
      <c r="AK25" s="437"/>
      <c r="AL25" s="476"/>
      <c r="AM25" s="436">
        <v>650760</v>
      </c>
      <c r="AN25" s="437"/>
      <c r="AO25" s="437"/>
      <c r="AP25" s="437"/>
      <c r="AQ25" s="437"/>
      <c r="AR25" s="476"/>
      <c r="AS25" s="436">
        <v>3190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2946965</v>
      </c>
      <c r="BO25" s="349"/>
      <c r="BP25" s="349"/>
      <c r="BQ25" s="349"/>
      <c r="BR25" s="349"/>
      <c r="BS25" s="349"/>
      <c r="BT25" s="349"/>
      <c r="BU25" s="350"/>
      <c r="BV25" s="348">
        <v>3551137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7750</v>
      </c>
      <c r="R26" s="437"/>
      <c r="S26" s="437"/>
      <c r="T26" s="437"/>
      <c r="U26" s="437"/>
      <c r="V26" s="476"/>
      <c r="W26" s="531"/>
      <c r="X26" s="519"/>
      <c r="Y26" s="520"/>
      <c r="Z26" s="435" t="s">
        <v>158</v>
      </c>
      <c r="AA26" s="541"/>
      <c r="AB26" s="541"/>
      <c r="AC26" s="541"/>
      <c r="AD26" s="541"/>
      <c r="AE26" s="541"/>
      <c r="AF26" s="541"/>
      <c r="AG26" s="542"/>
      <c r="AH26" s="436">
        <v>194</v>
      </c>
      <c r="AI26" s="437"/>
      <c r="AJ26" s="437"/>
      <c r="AK26" s="437"/>
      <c r="AL26" s="476"/>
      <c r="AM26" s="436">
        <v>613428</v>
      </c>
      <c r="AN26" s="437"/>
      <c r="AO26" s="437"/>
      <c r="AP26" s="437"/>
      <c r="AQ26" s="437"/>
      <c r="AR26" s="476"/>
      <c r="AS26" s="436">
        <v>3162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6350</v>
      </c>
      <c r="R27" s="437"/>
      <c r="S27" s="437"/>
      <c r="T27" s="437"/>
      <c r="U27" s="437"/>
      <c r="V27" s="476"/>
      <c r="W27" s="531"/>
      <c r="X27" s="519"/>
      <c r="Y27" s="520"/>
      <c r="Z27" s="435" t="s">
        <v>161</v>
      </c>
      <c r="AA27" s="415"/>
      <c r="AB27" s="415"/>
      <c r="AC27" s="415"/>
      <c r="AD27" s="415"/>
      <c r="AE27" s="415"/>
      <c r="AF27" s="415"/>
      <c r="AG27" s="416"/>
      <c r="AH27" s="436">
        <v>32</v>
      </c>
      <c r="AI27" s="437"/>
      <c r="AJ27" s="437"/>
      <c r="AK27" s="437"/>
      <c r="AL27" s="476"/>
      <c r="AM27" s="436">
        <v>110972</v>
      </c>
      <c r="AN27" s="437"/>
      <c r="AO27" s="437"/>
      <c r="AP27" s="437"/>
      <c r="AQ27" s="437"/>
      <c r="AR27" s="476"/>
      <c r="AS27" s="436">
        <v>3468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1424182</v>
      </c>
      <c r="BO27" s="555"/>
      <c r="BP27" s="555"/>
      <c r="BQ27" s="555"/>
      <c r="BR27" s="555"/>
      <c r="BS27" s="555"/>
      <c r="BT27" s="555"/>
      <c r="BU27" s="556"/>
      <c r="BV27" s="554">
        <v>1422711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5850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2607922</v>
      </c>
      <c r="BO28" s="349"/>
      <c r="BP28" s="349"/>
      <c r="BQ28" s="349"/>
      <c r="BR28" s="349"/>
      <c r="BS28" s="349"/>
      <c r="BT28" s="349"/>
      <c r="BU28" s="350"/>
      <c r="BV28" s="348">
        <v>2457356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26</v>
      </c>
      <c r="M29" s="437"/>
      <c r="N29" s="437"/>
      <c r="O29" s="437"/>
      <c r="P29" s="476"/>
      <c r="Q29" s="436">
        <v>5350</v>
      </c>
      <c r="R29" s="437"/>
      <c r="S29" s="437"/>
      <c r="T29" s="437"/>
      <c r="U29" s="437"/>
      <c r="V29" s="476"/>
      <c r="W29" s="532"/>
      <c r="X29" s="533"/>
      <c r="Y29" s="534"/>
      <c r="Z29" s="435" t="s">
        <v>168</v>
      </c>
      <c r="AA29" s="415"/>
      <c r="AB29" s="415"/>
      <c r="AC29" s="415"/>
      <c r="AD29" s="415"/>
      <c r="AE29" s="415"/>
      <c r="AF29" s="415"/>
      <c r="AG29" s="416"/>
      <c r="AH29" s="436">
        <v>1263</v>
      </c>
      <c r="AI29" s="437"/>
      <c r="AJ29" s="437"/>
      <c r="AK29" s="437"/>
      <c r="AL29" s="476"/>
      <c r="AM29" s="436">
        <v>3928303</v>
      </c>
      <c r="AN29" s="437"/>
      <c r="AO29" s="437"/>
      <c r="AP29" s="437"/>
      <c r="AQ29" s="437"/>
      <c r="AR29" s="476"/>
      <c r="AS29" s="436">
        <v>3110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2023020</v>
      </c>
      <c r="BO29" s="386"/>
      <c r="BP29" s="386"/>
      <c r="BQ29" s="386"/>
      <c r="BR29" s="386"/>
      <c r="BS29" s="386"/>
      <c r="BT29" s="386"/>
      <c r="BU29" s="387"/>
      <c r="BV29" s="385">
        <v>2018864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104.6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3398925</v>
      </c>
      <c r="BO30" s="555"/>
      <c r="BP30" s="555"/>
      <c r="BQ30" s="555"/>
      <c r="BR30" s="555"/>
      <c r="BS30" s="555"/>
      <c r="BT30" s="555"/>
      <c r="BU30" s="556"/>
      <c r="BV30" s="554">
        <v>3497284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城南衛生管理組合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宇治市体育協会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墓地公園事業特別会計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淀川・木津川水防事務組合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宇治廃棄物処理公社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飲料水供給施設事業特別会計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京都府自治会館管理組合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宇治市文化センター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京都府住宅新築資金等貸付事業管理組合（一般会計）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宇治市公園公社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京都府住宅新築資金等貸付事業管理組合（特別会計）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宇治市霊園公社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京都府後期高齢者医療広域連合（一般会計）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宇治市福祉サービス公社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京都府後期高齢者医療広域連合（後期高齢者医療特別会計）</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宇治市野外活動センター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京都地方税機構</v>
      </c>
      <c r="BZ41" s="567"/>
      <c r="CA41" s="567"/>
      <c r="CB41" s="567"/>
      <c r="CC41" s="567"/>
      <c r="CD41" s="567"/>
      <c r="CE41" s="567"/>
      <c r="CF41" s="567"/>
      <c r="CG41" s="567"/>
      <c r="CH41" s="567"/>
      <c r="CI41" s="567"/>
      <c r="CJ41" s="567"/>
      <c r="CK41" s="567"/>
      <c r="CL41" s="567"/>
      <c r="CM41" s="567"/>
      <c r="CN41" s="165"/>
      <c r="CO41" s="566">
        <f t="shared" si="3"/>
        <v>25</v>
      </c>
      <c r="CP41" s="566"/>
      <c r="CQ41" s="567" t="str">
        <f>IF('各会計、関係団体の財政状況及び健全化判断比率'!BS14="","",'各会計、関係団体の財政状況及び健全化判断比率'!BS14)</f>
        <v>エフエム宇治放送</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26</v>
      </c>
      <c r="CP42" s="566"/>
      <c r="CQ42" s="567" t="str">
        <f>IF('各会計、関係団体の財政状況及び健全化判断比率'!BS15="","",'各会計、関係団体の財政状況及び健全化判断比率'!BS15)</f>
        <v>宇治市土地開発公社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27</v>
      </c>
      <c r="CP43" s="566"/>
      <c r="CQ43" s="567" t="str">
        <f>IF('各会計、関係団体の財政状況及び健全化判断比率'!BS16="","",'各会計、関係団体の財政状況及び健全化判断比率'!BS16)</f>
        <v>宇治市文化財愛護協会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23771831</v>
      </c>
      <c r="S5" s="583"/>
      <c r="T5" s="583"/>
      <c r="U5" s="583"/>
      <c r="V5" s="583"/>
      <c r="W5" s="583"/>
      <c r="X5" s="583"/>
      <c r="Y5" s="584"/>
      <c r="Z5" s="585">
        <v>39.1</v>
      </c>
      <c r="AA5" s="585"/>
      <c r="AB5" s="585"/>
      <c r="AC5" s="585"/>
      <c r="AD5" s="586">
        <v>22107734</v>
      </c>
      <c r="AE5" s="586"/>
      <c r="AF5" s="586"/>
      <c r="AG5" s="586"/>
      <c r="AH5" s="586"/>
      <c r="AI5" s="586"/>
      <c r="AJ5" s="586"/>
      <c r="AK5" s="586"/>
      <c r="AL5" s="587">
        <v>68.8</v>
      </c>
      <c r="AM5" s="588"/>
      <c r="AN5" s="588"/>
      <c r="AO5" s="589"/>
      <c r="AP5" s="579" t="s">
        <v>206</v>
      </c>
      <c r="AQ5" s="580"/>
      <c r="AR5" s="580"/>
      <c r="AS5" s="580"/>
      <c r="AT5" s="580"/>
      <c r="AU5" s="580"/>
      <c r="AV5" s="580"/>
      <c r="AW5" s="580"/>
      <c r="AX5" s="580"/>
      <c r="AY5" s="580"/>
      <c r="AZ5" s="580"/>
      <c r="BA5" s="580"/>
      <c r="BB5" s="580"/>
      <c r="BC5" s="580"/>
      <c r="BD5" s="580"/>
      <c r="BE5" s="580"/>
      <c r="BF5" s="581"/>
      <c r="BG5" s="593">
        <v>22107734</v>
      </c>
      <c r="BH5" s="594"/>
      <c r="BI5" s="594"/>
      <c r="BJ5" s="594"/>
      <c r="BK5" s="594"/>
      <c r="BL5" s="594"/>
      <c r="BM5" s="594"/>
      <c r="BN5" s="595"/>
      <c r="BO5" s="596">
        <v>93</v>
      </c>
      <c r="BP5" s="596"/>
      <c r="BQ5" s="596"/>
      <c r="BR5" s="596"/>
      <c r="BS5" s="597">
        <v>294827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334594</v>
      </c>
      <c r="S6" s="594"/>
      <c r="T6" s="594"/>
      <c r="U6" s="594"/>
      <c r="V6" s="594"/>
      <c r="W6" s="594"/>
      <c r="X6" s="594"/>
      <c r="Y6" s="595"/>
      <c r="Z6" s="596">
        <v>0.6</v>
      </c>
      <c r="AA6" s="596"/>
      <c r="AB6" s="596"/>
      <c r="AC6" s="596"/>
      <c r="AD6" s="597">
        <v>334594</v>
      </c>
      <c r="AE6" s="597"/>
      <c r="AF6" s="597"/>
      <c r="AG6" s="597"/>
      <c r="AH6" s="597"/>
      <c r="AI6" s="597"/>
      <c r="AJ6" s="597"/>
      <c r="AK6" s="597"/>
      <c r="AL6" s="598">
        <v>1</v>
      </c>
      <c r="AM6" s="599"/>
      <c r="AN6" s="599"/>
      <c r="AO6" s="600"/>
      <c r="AP6" s="590" t="s">
        <v>211</v>
      </c>
      <c r="AQ6" s="591"/>
      <c r="AR6" s="591"/>
      <c r="AS6" s="591"/>
      <c r="AT6" s="591"/>
      <c r="AU6" s="591"/>
      <c r="AV6" s="591"/>
      <c r="AW6" s="591"/>
      <c r="AX6" s="591"/>
      <c r="AY6" s="591"/>
      <c r="AZ6" s="591"/>
      <c r="BA6" s="591"/>
      <c r="BB6" s="591"/>
      <c r="BC6" s="591"/>
      <c r="BD6" s="591"/>
      <c r="BE6" s="591"/>
      <c r="BF6" s="592"/>
      <c r="BG6" s="593">
        <v>22107734</v>
      </c>
      <c r="BH6" s="594"/>
      <c r="BI6" s="594"/>
      <c r="BJ6" s="594"/>
      <c r="BK6" s="594"/>
      <c r="BL6" s="594"/>
      <c r="BM6" s="594"/>
      <c r="BN6" s="595"/>
      <c r="BO6" s="596">
        <v>93</v>
      </c>
      <c r="BP6" s="596"/>
      <c r="BQ6" s="596"/>
      <c r="BR6" s="596"/>
      <c r="BS6" s="597">
        <v>294827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460278</v>
      </c>
      <c r="CS6" s="594"/>
      <c r="CT6" s="594"/>
      <c r="CU6" s="594"/>
      <c r="CV6" s="594"/>
      <c r="CW6" s="594"/>
      <c r="CX6" s="594"/>
      <c r="CY6" s="595"/>
      <c r="CZ6" s="596">
        <v>0.8</v>
      </c>
      <c r="DA6" s="596"/>
      <c r="DB6" s="596"/>
      <c r="DC6" s="596"/>
      <c r="DD6" s="602">
        <v>1113</v>
      </c>
      <c r="DE6" s="594"/>
      <c r="DF6" s="594"/>
      <c r="DG6" s="594"/>
      <c r="DH6" s="594"/>
      <c r="DI6" s="594"/>
      <c r="DJ6" s="594"/>
      <c r="DK6" s="594"/>
      <c r="DL6" s="594"/>
      <c r="DM6" s="594"/>
      <c r="DN6" s="594"/>
      <c r="DO6" s="594"/>
      <c r="DP6" s="595"/>
      <c r="DQ6" s="602">
        <v>460278</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74290</v>
      </c>
      <c r="S7" s="594"/>
      <c r="T7" s="594"/>
      <c r="U7" s="594"/>
      <c r="V7" s="594"/>
      <c r="W7" s="594"/>
      <c r="X7" s="594"/>
      <c r="Y7" s="595"/>
      <c r="Z7" s="596">
        <v>0.1</v>
      </c>
      <c r="AA7" s="596"/>
      <c r="AB7" s="596"/>
      <c r="AC7" s="596"/>
      <c r="AD7" s="597">
        <v>74290</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11500919</v>
      </c>
      <c r="BH7" s="594"/>
      <c r="BI7" s="594"/>
      <c r="BJ7" s="594"/>
      <c r="BK7" s="594"/>
      <c r="BL7" s="594"/>
      <c r="BM7" s="594"/>
      <c r="BN7" s="595"/>
      <c r="BO7" s="596">
        <v>48.4</v>
      </c>
      <c r="BP7" s="596"/>
      <c r="BQ7" s="596"/>
      <c r="BR7" s="596"/>
      <c r="BS7" s="597">
        <v>294827</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4678391</v>
      </c>
      <c r="CS7" s="594"/>
      <c r="CT7" s="594"/>
      <c r="CU7" s="594"/>
      <c r="CV7" s="594"/>
      <c r="CW7" s="594"/>
      <c r="CX7" s="594"/>
      <c r="CY7" s="595"/>
      <c r="CZ7" s="596">
        <v>7.8</v>
      </c>
      <c r="DA7" s="596"/>
      <c r="DB7" s="596"/>
      <c r="DC7" s="596"/>
      <c r="DD7" s="602">
        <v>208673</v>
      </c>
      <c r="DE7" s="594"/>
      <c r="DF7" s="594"/>
      <c r="DG7" s="594"/>
      <c r="DH7" s="594"/>
      <c r="DI7" s="594"/>
      <c r="DJ7" s="594"/>
      <c r="DK7" s="594"/>
      <c r="DL7" s="594"/>
      <c r="DM7" s="594"/>
      <c r="DN7" s="594"/>
      <c r="DO7" s="594"/>
      <c r="DP7" s="595"/>
      <c r="DQ7" s="602">
        <v>4041950</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250330</v>
      </c>
      <c r="S8" s="594"/>
      <c r="T8" s="594"/>
      <c r="U8" s="594"/>
      <c r="V8" s="594"/>
      <c r="W8" s="594"/>
      <c r="X8" s="594"/>
      <c r="Y8" s="595"/>
      <c r="Z8" s="596">
        <v>0.4</v>
      </c>
      <c r="AA8" s="596"/>
      <c r="AB8" s="596"/>
      <c r="AC8" s="596"/>
      <c r="AD8" s="597">
        <v>250330</v>
      </c>
      <c r="AE8" s="597"/>
      <c r="AF8" s="597"/>
      <c r="AG8" s="597"/>
      <c r="AH8" s="597"/>
      <c r="AI8" s="597"/>
      <c r="AJ8" s="597"/>
      <c r="AK8" s="597"/>
      <c r="AL8" s="598">
        <v>0.8</v>
      </c>
      <c r="AM8" s="599"/>
      <c r="AN8" s="599"/>
      <c r="AO8" s="600"/>
      <c r="AP8" s="590" t="s">
        <v>217</v>
      </c>
      <c r="AQ8" s="591"/>
      <c r="AR8" s="591"/>
      <c r="AS8" s="591"/>
      <c r="AT8" s="591"/>
      <c r="AU8" s="591"/>
      <c r="AV8" s="591"/>
      <c r="AW8" s="591"/>
      <c r="AX8" s="591"/>
      <c r="AY8" s="591"/>
      <c r="AZ8" s="591"/>
      <c r="BA8" s="591"/>
      <c r="BB8" s="591"/>
      <c r="BC8" s="591"/>
      <c r="BD8" s="591"/>
      <c r="BE8" s="591"/>
      <c r="BF8" s="592"/>
      <c r="BG8" s="593">
        <v>289248</v>
      </c>
      <c r="BH8" s="594"/>
      <c r="BI8" s="594"/>
      <c r="BJ8" s="594"/>
      <c r="BK8" s="594"/>
      <c r="BL8" s="594"/>
      <c r="BM8" s="594"/>
      <c r="BN8" s="595"/>
      <c r="BO8" s="596">
        <v>1.2</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27153799</v>
      </c>
      <c r="CS8" s="594"/>
      <c r="CT8" s="594"/>
      <c r="CU8" s="594"/>
      <c r="CV8" s="594"/>
      <c r="CW8" s="594"/>
      <c r="CX8" s="594"/>
      <c r="CY8" s="595"/>
      <c r="CZ8" s="596">
        <v>45.1</v>
      </c>
      <c r="DA8" s="596"/>
      <c r="DB8" s="596"/>
      <c r="DC8" s="596"/>
      <c r="DD8" s="602">
        <v>684872</v>
      </c>
      <c r="DE8" s="594"/>
      <c r="DF8" s="594"/>
      <c r="DG8" s="594"/>
      <c r="DH8" s="594"/>
      <c r="DI8" s="594"/>
      <c r="DJ8" s="594"/>
      <c r="DK8" s="594"/>
      <c r="DL8" s="594"/>
      <c r="DM8" s="594"/>
      <c r="DN8" s="594"/>
      <c r="DO8" s="594"/>
      <c r="DP8" s="595"/>
      <c r="DQ8" s="602">
        <v>12534008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141543</v>
      </c>
      <c r="S9" s="594"/>
      <c r="T9" s="594"/>
      <c r="U9" s="594"/>
      <c r="V9" s="594"/>
      <c r="W9" s="594"/>
      <c r="X9" s="594"/>
      <c r="Y9" s="595"/>
      <c r="Z9" s="596">
        <v>0.2</v>
      </c>
      <c r="AA9" s="596"/>
      <c r="AB9" s="596"/>
      <c r="AC9" s="596"/>
      <c r="AD9" s="597">
        <v>141543</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9404836</v>
      </c>
      <c r="BH9" s="594"/>
      <c r="BI9" s="594"/>
      <c r="BJ9" s="594"/>
      <c r="BK9" s="594"/>
      <c r="BL9" s="594"/>
      <c r="BM9" s="594"/>
      <c r="BN9" s="595"/>
      <c r="BO9" s="596">
        <v>39.6</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4412858</v>
      </c>
      <c r="CS9" s="594"/>
      <c r="CT9" s="594"/>
      <c r="CU9" s="594"/>
      <c r="CV9" s="594"/>
      <c r="CW9" s="594"/>
      <c r="CX9" s="594"/>
      <c r="CY9" s="595"/>
      <c r="CZ9" s="596">
        <v>7.3</v>
      </c>
      <c r="DA9" s="596"/>
      <c r="DB9" s="596"/>
      <c r="DC9" s="596"/>
      <c r="DD9" s="602">
        <v>101611</v>
      </c>
      <c r="DE9" s="594"/>
      <c r="DF9" s="594"/>
      <c r="DG9" s="594"/>
      <c r="DH9" s="594"/>
      <c r="DI9" s="594"/>
      <c r="DJ9" s="594"/>
      <c r="DK9" s="594"/>
      <c r="DL9" s="594"/>
      <c r="DM9" s="594"/>
      <c r="DN9" s="594"/>
      <c r="DO9" s="594"/>
      <c r="DP9" s="595"/>
      <c r="DQ9" s="602">
        <v>4032222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2030070</v>
      </c>
      <c r="S10" s="594"/>
      <c r="T10" s="594"/>
      <c r="U10" s="594"/>
      <c r="V10" s="594"/>
      <c r="W10" s="594"/>
      <c r="X10" s="594"/>
      <c r="Y10" s="595"/>
      <c r="Z10" s="596">
        <v>3.3</v>
      </c>
      <c r="AA10" s="596"/>
      <c r="AB10" s="596"/>
      <c r="AC10" s="596"/>
      <c r="AD10" s="597">
        <v>2030070</v>
      </c>
      <c r="AE10" s="597"/>
      <c r="AF10" s="597"/>
      <c r="AG10" s="597"/>
      <c r="AH10" s="597"/>
      <c r="AI10" s="597"/>
      <c r="AJ10" s="597"/>
      <c r="AK10" s="597"/>
      <c r="AL10" s="598">
        <v>6.3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367416</v>
      </c>
      <c r="BH10" s="594"/>
      <c r="BI10" s="594"/>
      <c r="BJ10" s="594"/>
      <c r="BK10" s="594"/>
      <c r="BL10" s="594"/>
      <c r="BM10" s="594"/>
      <c r="BN10" s="595"/>
      <c r="BO10" s="596">
        <v>1.5</v>
      </c>
      <c r="BP10" s="596"/>
      <c r="BQ10" s="596"/>
      <c r="BR10" s="596"/>
      <c r="BS10" s="602">
        <v>60432</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94567</v>
      </c>
      <c r="CS10" s="594"/>
      <c r="CT10" s="594"/>
      <c r="CU10" s="594"/>
      <c r="CV10" s="594"/>
      <c r="CW10" s="594"/>
      <c r="CX10" s="594"/>
      <c r="CY10" s="595"/>
      <c r="CZ10" s="596">
        <v>0.2</v>
      </c>
      <c r="DA10" s="596"/>
      <c r="DB10" s="596"/>
      <c r="DC10" s="596"/>
      <c r="DD10" s="602" t="s">
        <v>218</v>
      </c>
      <c r="DE10" s="594"/>
      <c r="DF10" s="594"/>
      <c r="DG10" s="594"/>
      <c r="DH10" s="594"/>
      <c r="DI10" s="594"/>
      <c r="DJ10" s="594"/>
      <c r="DK10" s="594"/>
      <c r="DL10" s="594"/>
      <c r="DM10" s="594"/>
      <c r="DN10" s="594"/>
      <c r="DO10" s="594"/>
      <c r="DP10" s="595"/>
      <c r="DQ10" s="602">
        <v>18046</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29871</v>
      </c>
      <c r="S11" s="594"/>
      <c r="T11" s="594"/>
      <c r="U11" s="594"/>
      <c r="V11" s="594"/>
      <c r="W11" s="594"/>
      <c r="X11" s="594"/>
      <c r="Y11" s="595"/>
      <c r="Z11" s="596">
        <v>0</v>
      </c>
      <c r="AA11" s="596"/>
      <c r="AB11" s="596"/>
      <c r="AC11" s="596"/>
      <c r="AD11" s="597">
        <v>29871</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1439419</v>
      </c>
      <c r="BH11" s="594"/>
      <c r="BI11" s="594"/>
      <c r="BJ11" s="594"/>
      <c r="BK11" s="594"/>
      <c r="BL11" s="594"/>
      <c r="BM11" s="594"/>
      <c r="BN11" s="595"/>
      <c r="BO11" s="596">
        <v>6.1</v>
      </c>
      <c r="BP11" s="596"/>
      <c r="BQ11" s="596"/>
      <c r="BR11" s="596"/>
      <c r="BS11" s="602">
        <v>234395</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287297</v>
      </c>
      <c r="CS11" s="594"/>
      <c r="CT11" s="594"/>
      <c r="CU11" s="594"/>
      <c r="CV11" s="594"/>
      <c r="CW11" s="594"/>
      <c r="CX11" s="594"/>
      <c r="CY11" s="595"/>
      <c r="CZ11" s="596">
        <v>0.5</v>
      </c>
      <c r="DA11" s="596"/>
      <c r="DB11" s="596"/>
      <c r="DC11" s="596"/>
      <c r="DD11" s="602">
        <v>37277</v>
      </c>
      <c r="DE11" s="594"/>
      <c r="DF11" s="594"/>
      <c r="DG11" s="594"/>
      <c r="DH11" s="594"/>
      <c r="DI11" s="594"/>
      <c r="DJ11" s="594"/>
      <c r="DK11" s="594"/>
      <c r="DL11" s="594"/>
      <c r="DM11" s="594"/>
      <c r="DN11" s="594"/>
      <c r="DO11" s="594"/>
      <c r="DP11" s="595"/>
      <c r="DQ11" s="602">
        <v>221841</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9283520</v>
      </c>
      <c r="BH12" s="594"/>
      <c r="BI12" s="594"/>
      <c r="BJ12" s="594"/>
      <c r="BK12" s="594"/>
      <c r="BL12" s="594"/>
      <c r="BM12" s="594"/>
      <c r="BN12" s="595"/>
      <c r="BO12" s="596">
        <v>39.1</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1813879</v>
      </c>
      <c r="CS12" s="594"/>
      <c r="CT12" s="594"/>
      <c r="CU12" s="594"/>
      <c r="CV12" s="594"/>
      <c r="CW12" s="594"/>
      <c r="CX12" s="594"/>
      <c r="CY12" s="595"/>
      <c r="CZ12" s="596">
        <v>3</v>
      </c>
      <c r="DA12" s="596"/>
      <c r="DB12" s="596"/>
      <c r="DC12" s="596"/>
      <c r="DD12" s="602">
        <v>3352</v>
      </c>
      <c r="DE12" s="594"/>
      <c r="DF12" s="594"/>
      <c r="DG12" s="594"/>
      <c r="DH12" s="594"/>
      <c r="DI12" s="594"/>
      <c r="DJ12" s="594"/>
      <c r="DK12" s="594"/>
      <c r="DL12" s="594"/>
      <c r="DM12" s="594"/>
      <c r="DN12" s="594"/>
      <c r="DO12" s="594"/>
      <c r="DP12" s="595"/>
      <c r="DQ12" s="602">
        <v>372425</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70599</v>
      </c>
      <c r="S13" s="594"/>
      <c r="T13" s="594"/>
      <c r="U13" s="594"/>
      <c r="V13" s="594"/>
      <c r="W13" s="594"/>
      <c r="X13" s="594"/>
      <c r="Y13" s="595"/>
      <c r="Z13" s="596">
        <v>0.1</v>
      </c>
      <c r="AA13" s="596"/>
      <c r="AB13" s="596"/>
      <c r="AC13" s="596"/>
      <c r="AD13" s="597">
        <v>70599</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9183833</v>
      </c>
      <c r="BH13" s="594"/>
      <c r="BI13" s="594"/>
      <c r="BJ13" s="594"/>
      <c r="BK13" s="594"/>
      <c r="BL13" s="594"/>
      <c r="BM13" s="594"/>
      <c r="BN13" s="595"/>
      <c r="BO13" s="596">
        <v>38.6</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6843274</v>
      </c>
      <c r="CS13" s="594"/>
      <c r="CT13" s="594"/>
      <c r="CU13" s="594"/>
      <c r="CV13" s="594"/>
      <c r="CW13" s="594"/>
      <c r="CX13" s="594"/>
      <c r="CY13" s="595"/>
      <c r="CZ13" s="596">
        <v>11.4</v>
      </c>
      <c r="DA13" s="596"/>
      <c r="DB13" s="596"/>
      <c r="DC13" s="596"/>
      <c r="DD13" s="602">
        <v>1302567</v>
      </c>
      <c r="DE13" s="594"/>
      <c r="DF13" s="594"/>
      <c r="DG13" s="594"/>
      <c r="DH13" s="594"/>
      <c r="DI13" s="594"/>
      <c r="DJ13" s="594"/>
      <c r="DK13" s="594"/>
      <c r="DL13" s="594"/>
      <c r="DM13" s="594"/>
      <c r="DN13" s="594"/>
      <c r="DO13" s="594"/>
      <c r="DP13" s="595"/>
      <c r="DQ13" s="602">
        <v>4798735</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223415</v>
      </c>
      <c r="BH14" s="594"/>
      <c r="BI14" s="594"/>
      <c r="BJ14" s="594"/>
      <c r="BK14" s="594"/>
      <c r="BL14" s="594"/>
      <c r="BM14" s="594"/>
      <c r="BN14" s="595"/>
      <c r="BO14" s="596">
        <v>0.9</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2244534</v>
      </c>
      <c r="CS14" s="594"/>
      <c r="CT14" s="594"/>
      <c r="CU14" s="594"/>
      <c r="CV14" s="594"/>
      <c r="CW14" s="594"/>
      <c r="CX14" s="594"/>
      <c r="CY14" s="595"/>
      <c r="CZ14" s="596">
        <v>3.7</v>
      </c>
      <c r="DA14" s="596"/>
      <c r="DB14" s="596"/>
      <c r="DC14" s="596"/>
      <c r="DD14" s="602">
        <v>304440</v>
      </c>
      <c r="DE14" s="594"/>
      <c r="DF14" s="594"/>
      <c r="DG14" s="594"/>
      <c r="DH14" s="594"/>
      <c r="DI14" s="594"/>
      <c r="DJ14" s="594"/>
      <c r="DK14" s="594"/>
      <c r="DL14" s="594"/>
      <c r="DM14" s="594"/>
      <c r="DN14" s="594"/>
      <c r="DO14" s="594"/>
      <c r="DP14" s="595"/>
      <c r="DQ14" s="602">
        <v>1990101</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142362</v>
      </c>
      <c r="S15" s="594"/>
      <c r="T15" s="594"/>
      <c r="U15" s="594"/>
      <c r="V15" s="594"/>
      <c r="W15" s="594"/>
      <c r="X15" s="594"/>
      <c r="Y15" s="595"/>
      <c r="Z15" s="596">
        <v>0.2</v>
      </c>
      <c r="AA15" s="596"/>
      <c r="AB15" s="596"/>
      <c r="AC15" s="596"/>
      <c r="AD15" s="597">
        <v>142362</v>
      </c>
      <c r="AE15" s="597"/>
      <c r="AF15" s="597"/>
      <c r="AG15" s="597"/>
      <c r="AH15" s="597"/>
      <c r="AI15" s="597"/>
      <c r="AJ15" s="597"/>
      <c r="AK15" s="597"/>
      <c r="AL15" s="598">
        <v>0.4</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1099880</v>
      </c>
      <c r="BH15" s="594"/>
      <c r="BI15" s="594"/>
      <c r="BJ15" s="594"/>
      <c r="BK15" s="594"/>
      <c r="BL15" s="594"/>
      <c r="BM15" s="594"/>
      <c r="BN15" s="595"/>
      <c r="BO15" s="596">
        <v>4.5999999999999996</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6135778</v>
      </c>
      <c r="CS15" s="594"/>
      <c r="CT15" s="594"/>
      <c r="CU15" s="594"/>
      <c r="CV15" s="594"/>
      <c r="CW15" s="594"/>
      <c r="CX15" s="594"/>
      <c r="CY15" s="595"/>
      <c r="CZ15" s="596">
        <v>10.199999999999999</v>
      </c>
      <c r="DA15" s="596"/>
      <c r="DB15" s="596"/>
      <c r="DC15" s="596"/>
      <c r="DD15" s="602">
        <v>1948024</v>
      </c>
      <c r="DE15" s="594"/>
      <c r="DF15" s="594"/>
      <c r="DG15" s="594"/>
      <c r="DH15" s="594"/>
      <c r="DI15" s="594"/>
      <c r="DJ15" s="594"/>
      <c r="DK15" s="594"/>
      <c r="DL15" s="594"/>
      <c r="DM15" s="594"/>
      <c r="DN15" s="594"/>
      <c r="DO15" s="594"/>
      <c r="DP15" s="595"/>
      <c r="DQ15" s="602">
        <v>4501876</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6887119</v>
      </c>
      <c r="S16" s="594"/>
      <c r="T16" s="594"/>
      <c r="U16" s="594"/>
      <c r="V16" s="594"/>
      <c r="W16" s="594"/>
      <c r="X16" s="594"/>
      <c r="Y16" s="595"/>
      <c r="Z16" s="596">
        <v>11.3</v>
      </c>
      <c r="AA16" s="596"/>
      <c r="AB16" s="596"/>
      <c r="AC16" s="596"/>
      <c r="AD16" s="597">
        <v>6491314</v>
      </c>
      <c r="AE16" s="597"/>
      <c r="AF16" s="597"/>
      <c r="AG16" s="597"/>
      <c r="AH16" s="597"/>
      <c r="AI16" s="597"/>
      <c r="AJ16" s="597"/>
      <c r="AK16" s="597"/>
      <c r="AL16" s="598">
        <v>20.2</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635493</v>
      </c>
      <c r="CS16" s="594"/>
      <c r="CT16" s="594"/>
      <c r="CU16" s="594"/>
      <c r="CV16" s="594"/>
      <c r="CW16" s="594"/>
      <c r="CX16" s="594"/>
      <c r="CY16" s="595"/>
      <c r="CZ16" s="596">
        <v>1.1000000000000001</v>
      </c>
      <c r="DA16" s="596"/>
      <c r="DB16" s="596"/>
      <c r="DC16" s="596"/>
      <c r="DD16" s="602" t="s">
        <v>218</v>
      </c>
      <c r="DE16" s="594"/>
      <c r="DF16" s="594"/>
      <c r="DG16" s="594"/>
      <c r="DH16" s="594"/>
      <c r="DI16" s="594"/>
      <c r="DJ16" s="594"/>
      <c r="DK16" s="594"/>
      <c r="DL16" s="594"/>
      <c r="DM16" s="594"/>
      <c r="DN16" s="594"/>
      <c r="DO16" s="594"/>
      <c r="DP16" s="595"/>
      <c r="DQ16" s="602">
        <v>163369</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6491314</v>
      </c>
      <c r="S17" s="594"/>
      <c r="T17" s="594"/>
      <c r="U17" s="594"/>
      <c r="V17" s="594"/>
      <c r="W17" s="594"/>
      <c r="X17" s="594"/>
      <c r="Y17" s="595"/>
      <c r="Z17" s="596">
        <v>10.7</v>
      </c>
      <c r="AA17" s="596"/>
      <c r="AB17" s="596"/>
      <c r="AC17" s="596"/>
      <c r="AD17" s="597">
        <v>6491314</v>
      </c>
      <c r="AE17" s="597"/>
      <c r="AF17" s="597"/>
      <c r="AG17" s="597"/>
      <c r="AH17" s="597"/>
      <c r="AI17" s="597"/>
      <c r="AJ17" s="597"/>
      <c r="AK17" s="597"/>
      <c r="AL17" s="598">
        <v>20.2</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5514622</v>
      </c>
      <c r="CS17" s="594"/>
      <c r="CT17" s="594"/>
      <c r="CU17" s="594"/>
      <c r="CV17" s="594"/>
      <c r="CW17" s="594"/>
      <c r="CX17" s="594"/>
      <c r="CY17" s="595"/>
      <c r="CZ17" s="596">
        <v>9.1</v>
      </c>
      <c r="DA17" s="596"/>
      <c r="DB17" s="596"/>
      <c r="DC17" s="596"/>
      <c r="DD17" s="602" t="s">
        <v>218</v>
      </c>
      <c r="DE17" s="594"/>
      <c r="DF17" s="594"/>
      <c r="DG17" s="594"/>
      <c r="DH17" s="594"/>
      <c r="DI17" s="594"/>
      <c r="DJ17" s="594"/>
      <c r="DK17" s="594"/>
      <c r="DL17" s="594"/>
      <c r="DM17" s="594"/>
      <c r="DN17" s="594"/>
      <c r="DO17" s="594"/>
      <c r="DP17" s="595"/>
      <c r="DQ17" s="602">
        <v>5230087</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395803</v>
      </c>
      <c r="S18" s="594"/>
      <c r="T18" s="594"/>
      <c r="U18" s="594"/>
      <c r="V18" s="594"/>
      <c r="W18" s="594"/>
      <c r="X18" s="594"/>
      <c r="Y18" s="595"/>
      <c r="Z18" s="596">
        <v>0.7</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1664097</v>
      </c>
      <c r="BH19" s="594"/>
      <c r="BI19" s="594"/>
      <c r="BJ19" s="594"/>
      <c r="BK19" s="594"/>
      <c r="BL19" s="594"/>
      <c r="BM19" s="594"/>
      <c r="BN19" s="595"/>
      <c r="BO19" s="596">
        <v>7</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33732609</v>
      </c>
      <c r="S20" s="594"/>
      <c r="T20" s="594"/>
      <c r="U20" s="594"/>
      <c r="V20" s="594"/>
      <c r="W20" s="594"/>
      <c r="X20" s="594"/>
      <c r="Y20" s="595"/>
      <c r="Z20" s="596">
        <v>55.5</v>
      </c>
      <c r="AA20" s="596"/>
      <c r="AB20" s="596"/>
      <c r="AC20" s="596"/>
      <c r="AD20" s="597">
        <v>31672707</v>
      </c>
      <c r="AE20" s="597"/>
      <c r="AF20" s="597"/>
      <c r="AG20" s="597"/>
      <c r="AH20" s="597"/>
      <c r="AI20" s="597"/>
      <c r="AJ20" s="597"/>
      <c r="AK20" s="597"/>
      <c r="AL20" s="598">
        <v>98.5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1664097</v>
      </c>
      <c r="BH20" s="594"/>
      <c r="BI20" s="594"/>
      <c r="BJ20" s="594"/>
      <c r="BK20" s="594"/>
      <c r="BL20" s="594"/>
      <c r="BM20" s="594"/>
      <c r="BN20" s="595"/>
      <c r="BO20" s="596">
        <v>7</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60274770</v>
      </c>
      <c r="CS20" s="594"/>
      <c r="CT20" s="594"/>
      <c r="CU20" s="594"/>
      <c r="CV20" s="594"/>
      <c r="CW20" s="594"/>
      <c r="CX20" s="594"/>
      <c r="CY20" s="595"/>
      <c r="CZ20" s="596">
        <v>100</v>
      </c>
      <c r="DA20" s="596"/>
      <c r="DB20" s="596"/>
      <c r="DC20" s="596"/>
      <c r="DD20" s="602">
        <v>4591929</v>
      </c>
      <c r="DE20" s="594"/>
      <c r="DF20" s="594"/>
      <c r="DG20" s="594"/>
      <c r="DH20" s="594"/>
      <c r="DI20" s="594"/>
      <c r="DJ20" s="594"/>
      <c r="DK20" s="594"/>
      <c r="DL20" s="594"/>
      <c r="DM20" s="594"/>
      <c r="DN20" s="594"/>
      <c r="DO20" s="594"/>
      <c r="DP20" s="595"/>
      <c r="DQ20" s="602">
        <v>38364938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28228</v>
      </c>
      <c r="S21" s="594"/>
      <c r="T21" s="594"/>
      <c r="U21" s="594"/>
      <c r="V21" s="594"/>
      <c r="W21" s="594"/>
      <c r="X21" s="594"/>
      <c r="Y21" s="595"/>
      <c r="Z21" s="596">
        <v>0</v>
      </c>
      <c r="AA21" s="596"/>
      <c r="AB21" s="596"/>
      <c r="AC21" s="596"/>
      <c r="AD21" s="597">
        <v>28228</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915307</v>
      </c>
      <c r="S22" s="594"/>
      <c r="T22" s="594"/>
      <c r="U22" s="594"/>
      <c r="V22" s="594"/>
      <c r="W22" s="594"/>
      <c r="X22" s="594"/>
      <c r="Y22" s="595"/>
      <c r="Z22" s="596">
        <v>1.5</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1389697</v>
      </c>
      <c r="S23" s="594"/>
      <c r="T23" s="594"/>
      <c r="U23" s="594"/>
      <c r="V23" s="594"/>
      <c r="W23" s="594"/>
      <c r="X23" s="594"/>
      <c r="Y23" s="595"/>
      <c r="Z23" s="596">
        <v>2.2999999999999998</v>
      </c>
      <c r="AA23" s="596"/>
      <c r="AB23" s="596"/>
      <c r="AC23" s="596"/>
      <c r="AD23" s="597">
        <v>354075</v>
      </c>
      <c r="AE23" s="597"/>
      <c r="AF23" s="597"/>
      <c r="AG23" s="597"/>
      <c r="AH23" s="597"/>
      <c r="AI23" s="597"/>
      <c r="AJ23" s="597"/>
      <c r="AK23" s="597"/>
      <c r="AL23" s="598">
        <v>1.1000000000000001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1664097</v>
      </c>
      <c r="BH23" s="594"/>
      <c r="BI23" s="594"/>
      <c r="BJ23" s="594"/>
      <c r="BK23" s="594"/>
      <c r="BL23" s="594"/>
      <c r="BM23" s="594"/>
      <c r="BN23" s="595"/>
      <c r="BO23" s="596">
        <v>7</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136700</v>
      </c>
      <c r="S24" s="594"/>
      <c r="T24" s="594"/>
      <c r="U24" s="594"/>
      <c r="V24" s="594"/>
      <c r="W24" s="594"/>
      <c r="X24" s="594"/>
      <c r="Y24" s="595"/>
      <c r="Z24" s="596">
        <v>0.2</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34233029</v>
      </c>
      <c r="CS24" s="583"/>
      <c r="CT24" s="583"/>
      <c r="CU24" s="583"/>
      <c r="CV24" s="583"/>
      <c r="CW24" s="583"/>
      <c r="CX24" s="583"/>
      <c r="CY24" s="584"/>
      <c r="CZ24" s="622">
        <v>56.8</v>
      </c>
      <c r="DA24" s="623"/>
      <c r="DB24" s="623"/>
      <c r="DC24" s="624"/>
      <c r="DD24" s="621">
        <v>20863758</v>
      </c>
      <c r="DE24" s="583"/>
      <c r="DF24" s="583"/>
      <c r="DG24" s="583"/>
      <c r="DH24" s="583"/>
      <c r="DI24" s="583"/>
      <c r="DJ24" s="583"/>
      <c r="DK24" s="584"/>
      <c r="DL24" s="621">
        <v>20633167</v>
      </c>
      <c r="DM24" s="583"/>
      <c r="DN24" s="583"/>
      <c r="DO24" s="583"/>
      <c r="DP24" s="583"/>
      <c r="DQ24" s="583"/>
      <c r="DR24" s="583"/>
      <c r="DS24" s="583"/>
      <c r="DT24" s="583"/>
      <c r="DU24" s="583"/>
      <c r="DV24" s="584"/>
      <c r="DW24" s="587">
        <v>57.7</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10291098</v>
      </c>
      <c r="S25" s="594"/>
      <c r="T25" s="594"/>
      <c r="U25" s="594"/>
      <c r="V25" s="594"/>
      <c r="W25" s="594"/>
      <c r="X25" s="594"/>
      <c r="Y25" s="595"/>
      <c r="Z25" s="596">
        <v>16.899999999999999</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11475350</v>
      </c>
      <c r="CS25" s="625"/>
      <c r="CT25" s="625"/>
      <c r="CU25" s="625"/>
      <c r="CV25" s="625"/>
      <c r="CW25" s="625"/>
      <c r="CX25" s="625"/>
      <c r="CY25" s="626"/>
      <c r="CZ25" s="627">
        <v>19</v>
      </c>
      <c r="DA25" s="628"/>
      <c r="DB25" s="628"/>
      <c r="DC25" s="629"/>
      <c r="DD25" s="602">
        <v>10477511</v>
      </c>
      <c r="DE25" s="625"/>
      <c r="DF25" s="625"/>
      <c r="DG25" s="625"/>
      <c r="DH25" s="625"/>
      <c r="DI25" s="625"/>
      <c r="DJ25" s="625"/>
      <c r="DK25" s="626"/>
      <c r="DL25" s="602">
        <v>10276777</v>
      </c>
      <c r="DM25" s="625"/>
      <c r="DN25" s="625"/>
      <c r="DO25" s="625"/>
      <c r="DP25" s="625"/>
      <c r="DQ25" s="625"/>
      <c r="DR25" s="625"/>
      <c r="DS25" s="625"/>
      <c r="DT25" s="625"/>
      <c r="DU25" s="625"/>
      <c r="DV25" s="626"/>
      <c r="DW25" s="598">
        <v>28.7</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v>66093</v>
      </c>
      <c r="S26" s="594"/>
      <c r="T26" s="594"/>
      <c r="U26" s="594"/>
      <c r="V26" s="594"/>
      <c r="W26" s="594"/>
      <c r="X26" s="594"/>
      <c r="Y26" s="595"/>
      <c r="Z26" s="596">
        <v>0.1</v>
      </c>
      <c r="AA26" s="596"/>
      <c r="AB26" s="596"/>
      <c r="AC26" s="596"/>
      <c r="AD26" s="597">
        <v>66093</v>
      </c>
      <c r="AE26" s="597"/>
      <c r="AF26" s="597"/>
      <c r="AG26" s="597"/>
      <c r="AH26" s="597"/>
      <c r="AI26" s="597"/>
      <c r="AJ26" s="597"/>
      <c r="AK26" s="597"/>
      <c r="AL26" s="598">
        <v>0.2</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8001405</v>
      </c>
      <c r="CS26" s="594"/>
      <c r="CT26" s="594"/>
      <c r="CU26" s="594"/>
      <c r="CV26" s="594"/>
      <c r="CW26" s="594"/>
      <c r="CX26" s="594"/>
      <c r="CY26" s="595"/>
      <c r="CZ26" s="627">
        <v>13.3</v>
      </c>
      <c r="DA26" s="628"/>
      <c r="DB26" s="628"/>
      <c r="DC26" s="629"/>
      <c r="DD26" s="602">
        <v>7225217</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4565049</v>
      </c>
      <c r="S27" s="594"/>
      <c r="T27" s="594"/>
      <c r="U27" s="594"/>
      <c r="V27" s="594"/>
      <c r="W27" s="594"/>
      <c r="X27" s="594"/>
      <c r="Y27" s="595"/>
      <c r="Z27" s="596">
        <v>7.5</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23771831</v>
      </c>
      <c r="BH27" s="594"/>
      <c r="BI27" s="594"/>
      <c r="BJ27" s="594"/>
      <c r="BK27" s="594"/>
      <c r="BL27" s="594"/>
      <c r="BM27" s="594"/>
      <c r="BN27" s="595"/>
      <c r="BO27" s="596">
        <v>100</v>
      </c>
      <c r="BP27" s="596"/>
      <c r="BQ27" s="596"/>
      <c r="BR27" s="596"/>
      <c r="BS27" s="602">
        <v>294827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17243057</v>
      </c>
      <c r="CS27" s="625"/>
      <c r="CT27" s="625"/>
      <c r="CU27" s="625"/>
      <c r="CV27" s="625"/>
      <c r="CW27" s="625"/>
      <c r="CX27" s="625"/>
      <c r="CY27" s="626"/>
      <c r="CZ27" s="627">
        <v>28.6</v>
      </c>
      <c r="DA27" s="628"/>
      <c r="DB27" s="628"/>
      <c r="DC27" s="629"/>
      <c r="DD27" s="602">
        <v>5156160</v>
      </c>
      <c r="DE27" s="625"/>
      <c r="DF27" s="625"/>
      <c r="DG27" s="625"/>
      <c r="DH27" s="625"/>
      <c r="DI27" s="625"/>
      <c r="DJ27" s="625"/>
      <c r="DK27" s="626"/>
      <c r="DL27" s="602">
        <v>5126303</v>
      </c>
      <c r="DM27" s="625"/>
      <c r="DN27" s="625"/>
      <c r="DO27" s="625"/>
      <c r="DP27" s="625"/>
      <c r="DQ27" s="625"/>
      <c r="DR27" s="625"/>
      <c r="DS27" s="625"/>
      <c r="DT27" s="625"/>
      <c r="DU27" s="625"/>
      <c r="DV27" s="626"/>
      <c r="DW27" s="598">
        <v>14.3</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169987</v>
      </c>
      <c r="S28" s="594"/>
      <c r="T28" s="594"/>
      <c r="U28" s="594"/>
      <c r="V28" s="594"/>
      <c r="W28" s="594"/>
      <c r="X28" s="594"/>
      <c r="Y28" s="595"/>
      <c r="Z28" s="596">
        <v>0.3</v>
      </c>
      <c r="AA28" s="596"/>
      <c r="AB28" s="596"/>
      <c r="AC28" s="596"/>
      <c r="AD28" s="597">
        <v>34009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5514622</v>
      </c>
      <c r="CS28" s="594"/>
      <c r="CT28" s="594"/>
      <c r="CU28" s="594"/>
      <c r="CV28" s="594"/>
      <c r="CW28" s="594"/>
      <c r="CX28" s="594"/>
      <c r="CY28" s="595"/>
      <c r="CZ28" s="627">
        <v>9.1</v>
      </c>
      <c r="DA28" s="628"/>
      <c r="DB28" s="628"/>
      <c r="DC28" s="629"/>
      <c r="DD28" s="602">
        <v>5230087</v>
      </c>
      <c r="DE28" s="594"/>
      <c r="DF28" s="594"/>
      <c r="DG28" s="594"/>
      <c r="DH28" s="594"/>
      <c r="DI28" s="594"/>
      <c r="DJ28" s="594"/>
      <c r="DK28" s="595"/>
      <c r="DL28" s="602">
        <v>5230087</v>
      </c>
      <c r="DM28" s="594"/>
      <c r="DN28" s="594"/>
      <c r="DO28" s="594"/>
      <c r="DP28" s="594"/>
      <c r="DQ28" s="594"/>
      <c r="DR28" s="594"/>
      <c r="DS28" s="594"/>
      <c r="DT28" s="594"/>
      <c r="DU28" s="594"/>
      <c r="DV28" s="595"/>
      <c r="DW28" s="598">
        <v>14.6</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169300</v>
      </c>
      <c r="S29" s="594"/>
      <c r="T29" s="594"/>
      <c r="U29" s="594"/>
      <c r="V29" s="594"/>
      <c r="W29" s="594"/>
      <c r="X29" s="594"/>
      <c r="Y29" s="595"/>
      <c r="Z29" s="596">
        <v>0.3</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5477366</v>
      </c>
      <c r="CS29" s="625"/>
      <c r="CT29" s="625"/>
      <c r="CU29" s="625"/>
      <c r="CV29" s="625"/>
      <c r="CW29" s="625"/>
      <c r="CX29" s="625"/>
      <c r="CY29" s="626"/>
      <c r="CZ29" s="627">
        <v>9.1</v>
      </c>
      <c r="DA29" s="628"/>
      <c r="DB29" s="628"/>
      <c r="DC29" s="629"/>
      <c r="DD29" s="602">
        <v>5192831</v>
      </c>
      <c r="DE29" s="625"/>
      <c r="DF29" s="625"/>
      <c r="DG29" s="625"/>
      <c r="DH29" s="625"/>
      <c r="DI29" s="625"/>
      <c r="DJ29" s="625"/>
      <c r="DK29" s="626"/>
      <c r="DL29" s="602">
        <v>5192831</v>
      </c>
      <c r="DM29" s="625"/>
      <c r="DN29" s="625"/>
      <c r="DO29" s="625"/>
      <c r="DP29" s="625"/>
      <c r="DQ29" s="625"/>
      <c r="DR29" s="625"/>
      <c r="DS29" s="625"/>
      <c r="DT29" s="625"/>
      <c r="DU29" s="625"/>
      <c r="DV29" s="626"/>
      <c r="DW29" s="598">
        <v>14.5</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312866</v>
      </c>
      <c r="S30" s="594"/>
      <c r="T30" s="594"/>
      <c r="U30" s="594"/>
      <c r="V30" s="594"/>
      <c r="W30" s="594"/>
      <c r="X30" s="594"/>
      <c r="Y30" s="595"/>
      <c r="Z30" s="596">
        <v>0.5</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98.7</v>
      </c>
      <c r="BH30" s="652"/>
      <c r="BI30" s="652"/>
      <c r="BJ30" s="652"/>
      <c r="BK30" s="652"/>
      <c r="BL30" s="652"/>
      <c r="BM30" s="588">
        <v>95.3</v>
      </c>
      <c r="BN30" s="652"/>
      <c r="BO30" s="652"/>
      <c r="BP30" s="652"/>
      <c r="BQ30" s="653"/>
      <c r="BR30" s="651">
        <v>98.4</v>
      </c>
      <c r="BS30" s="652"/>
      <c r="BT30" s="652"/>
      <c r="BU30" s="652"/>
      <c r="BV30" s="652"/>
      <c r="BW30" s="652"/>
      <c r="BX30" s="588">
        <v>94.4</v>
      </c>
      <c r="BY30" s="652"/>
      <c r="BZ30" s="652"/>
      <c r="CA30" s="652"/>
      <c r="CB30" s="653"/>
      <c r="CD30" s="656"/>
      <c r="CE30" s="657"/>
      <c r="CF30" s="607" t="s">
        <v>291</v>
      </c>
      <c r="CG30" s="608"/>
      <c r="CH30" s="608"/>
      <c r="CI30" s="608"/>
      <c r="CJ30" s="608"/>
      <c r="CK30" s="608"/>
      <c r="CL30" s="608"/>
      <c r="CM30" s="608"/>
      <c r="CN30" s="608"/>
      <c r="CO30" s="608"/>
      <c r="CP30" s="608"/>
      <c r="CQ30" s="609"/>
      <c r="CR30" s="593">
        <v>4980389</v>
      </c>
      <c r="CS30" s="594"/>
      <c r="CT30" s="594"/>
      <c r="CU30" s="594"/>
      <c r="CV30" s="594"/>
      <c r="CW30" s="594"/>
      <c r="CX30" s="594"/>
      <c r="CY30" s="595"/>
      <c r="CZ30" s="627">
        <v>8.3000000000000007</v>
      </c>
      <c r="DA30" s="628"/>
      <c r="DB30" s="628"/>
      <c r="DC30" s="629"/>
      <c r="DD30" s="602">
        <v>4715815</v>
      </c>
      <c r="DE30" s="594"/>
      <c r="DF30" s="594"/>
      <c r="DG30" s="594"/>
      <c r="DH30" s="594"/>
      <c r="DI30" s="594"/>
      <c r="DJ30" s="594"/>
      <c r="DK30" s="595"/>
      <c r="DL30" s="602">
        <v>4715815</v>
      </c>
      <c r="DM30" s="594"/>
      <c r="DN30" s="594"/>
      <c r="DO30" s="594"/>
      <c r="DP30" s="594"/>
      <c r="DQ30" s="594"/>
      <c r="DR30" s="594"/>
      <c r="DS30" s="594"/>
      <c r="DT30" s="594"/>
      <c r="DU30" s="594"/>
      <c r="DV30" s="595"/>
      <c r="DW30" s="598">
        <v>13.2</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617128</v>
      </c>
      <c r="S31" s="594"/>
      <c r="T31" s="594"/>
      <c r="U31" s="594"/>
      <c r="V31" s="594"/>
      <c r="W31" s="594"/>
      <c r="X31" s="594"/>
      <c r="Y31" s="595"/>
      <c r="Z31" s="596">
        <v>1</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95.4</v>
      </c>
      <c r="BN31" s="649"/>
      <c r="BO31" s="649"/>
      <c r="BP31" s="649"/>
      <c r="BQ31" s="650"/>
      <c r="BR31" s="648">
        <v>98.6</v>
      </c>
      <c r="BS31" s="625"/>
      <c r="BT31" s="625"/>
      <c r="BU31" s="625"/>
      <c r="BV31" s="625"/>
      <c r="BW31" s="625"/>
      <c r="BX31" s="599">
        <v>94.5</v>
      </c>
      <c r="BY31" s="649"/>
      <c r="BZ31" s="649"/>
      <c r="CA31" s="649"/>
      <c r="CB31" s="650"/>
      <c r="CD31" s="656"/>
      <c r="CE31" s="657"/>
      <c r="CF31" s="607" t="s">
        <v>295</v>
      </c>
      <c r="CG31" s="608"/>
      <c r="CH31" s="608"/>
      <c r="CI31" s="608"/>
      <c r="CJ31" s="608"/>
      <c r="CK31" s="608"/>
      <c r="CL31" s="608"/>
      <c r="CM31" s="608"/>
      <c r="CN31" s="608"/>
      <c r="CO31" s="608"/>
      <c r="CP31" s="608"/>
      <c r="CQ31" s="609"/>
      <c r="CR31" s="593">
        <v>496977</v>
      </c>
      <c r="CS31" s="625"/>
      <c r="CT31" s="625"/>
      <c r="CU31" s="625"/>
      <c r="CV31" s="625"/>
      <c r="CW31" s="625"/>
      <c r="CX31" s="625"/>
      <c r="CY31" s="626"/>
      <c r="CZ31" s="627">
        <v>0.8</v>
      </c>
      <c r="DA31" s="628"/>
      <c r="DB31" s="628"/>
      <c r="DC31" s="629"/>
      <c r="DD31" s="602">
        <v>477016</v>
      </c>
      <c r="DE31" s="625"/>
      <c r="DF31" s="625"/>
      <c r="DG31" s="625"/>
      <c r="DH31" s="625"/>
      <c r="DI31" s="625"/>
      <c r="DJ31" s="625"/>
      <c r="DK31" s="626"/>
      <c r="DL31" s="602">
        <v>477016</v>
      </c>
      <c r="DM31" s="625"/>
      <c r="DN31" s="625"/>
      <c r="DO31" s="625"/>
      <c r="DP31" s="625"/>
      <c r="DQ31" s="625"/>
      <c r="DR31" s="625"/>
      <c r="DS31" s="625"/>
      <c r="DT31" s="625"/>
      <c r="DU31" s="625"/>
      <c r="DV31" s="626"/>
      <c r="DW31" s="598">
        <v>1.3</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2746600</v>
      </c>
      <c r="S32" s="594"/>
      <c r="T32" s="594"/>
      <c r="U32" s="594"/>
      <c r="V32" s="594"/>
      <c r="W32" s="594"/>
      <c r="X32" s="594"/>
      <c r="Y32" s="595"/>
      <c r="Z32" s="596">
        <v>4.5</v>
      </c>
      <c r="AA32" s="596"/>
      <c r="AB32" s="596"/>
      <c r="AC32" s="596"/>
      <c r="AD32" s="597">
        <v>653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98.4</v>
      </c>
      <c r="BH32" s="661"/>
      <c r="BI32" s="661"/>
      <c r="BJ32" s="661"/>
      <c r="BK32" s="661"/>
      <c r="BL32" s="661"/>
      <c r="BM32" s="662">
        <v>94.8</v>
      </c>
      <c r="BN32" s="661"/>
      <c r="BO32" s="661"/>
      <c r="BP32" s="661"/>
      <c r="BQ32" s="663"/>
      <c r="BR32" s="660">
        <v>98.2</v>
      </c>
      <c r="BS32" s="661"/>
      <c r="BT32" s="661"/>
      <c r="BU32" s="661"/>
      <c r="BV32" s="661"/>
      <c r="BW32" s="661"/>
      <c r="BX32" s="662">
        <v>93.8</v>
      </c>
      <c r="BY32" s="661"/>
      <c r="BZ32" s="661"/>
      <c r="CA32" s="661"/>
      <c r="CB32" s="663"/>
      <c r="CD32" s="658"/>
      <c r="CE32" s="659"/>
      <c r="CF32" s="607" t="s">
        <v>298</v>
      </c>
      <c r="CG32" s="608"/>
      <c r="CH32" s="608"/>
      <c r="CI32" s="608"/>
      <c r="CJ32" s="608"/>
      <c r="CK32" s="608"/>
      <c r="CL32" s="608"/>
      <c r="CM32" s="608"/>
      <c r="CN32" s="608"/>
      <c r="CO32" s="608"/>
      <c r="CP32" s="608"/>
      <c r="CQ32" s="609"/>
      <c r="CR32" s="593">
        <v>37256</v>
      </c>
      <c r="CS32" s="594"/>
      <c r="CT32" s="594"/>
      <c r="CU32" s="594"/>
      <c r="CV32" s="594"/>
      <c r="CW32" s="594"/>
      <c r="CX32" s="594"/>
      <c r="CY32" s="595"/>
      <c r="CZ32" s="627">
        <v>0.1</v>
      </c>
      <c r="DA32" s="628"/>
      <c r="DB32" s="628"/>
      <c r="DC32" s="629"/>
      <c r="DD32" s="602">
        <v>37256</v>
      </c>
      <c r="DE32" s="594"/>
      <c r="DF32" s="594"/>
      <c r="DG32" s="594"/>
      <c r="DH32" s="594"/>
      <c r="DI32" s="594"/>
      <c r="DJ32" s="594"/>
      <c r="DK32" s="595"/>
      <c r="DL32" s="602">
        <v>37256</v>
      </c>
      <c r="DM32" s="594"/>
      <c r="DN32" s="594"/>
      <c r="DO32" s="594"/>
      <c r="DP32" s="594"/>
      <c r="DQ32" s="594"/>
      <c r="DR32" s="594"/>
      <c r="DS32" s="594"/>
      <c r="DT32" s="594"/>
      <c r="DU32" s="594"/>
      <c r="DV32" s="595"/>
      <c r="DW32" s="598">
        <v>0.1</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5585800</v>
      </c>
      <c r="S33" s="594"/>
      <c r="T33" s="594"/>
      <c r="U33" s="594"/>
      <c r="V33" s="594"/>
      <c r="W33" s="594"/>
      <c r="X33" s="594"/>
      <c r="Y33" s="595"/>
      <c r="Z33" s="596">
        <v>9.1999999999999993</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20814319</v>
      </c>
      <c r="CS33" s="625"/>
      <c r="CT33" s="625"/>
      <c r="CU33" s="625"/>
      <c r="CV33" s="625"/>
      <c r="CW33" s="625"/>
      <c r="CX33" s="625"/>
      <c r="CY33" s="626"/>
      <c r="CZ33" s="627">
        <v>34.5</v>
      </c>
      <c r="DA33" s="628"/>
      <c r="DB33" s="628"/>
      <c r="DC33" s="629"/>
      <c r="DD33" s="602">
        <v>15632713</v>
      </c>
      <c r="DE33" s="625"/>
      <c r="DF33" s="625"/>
      <c r="DG33" s="625"/>
      <c r="DH33" s="625"/>
      <c r="DI33" s="625"/>
      <c r="DJ33" s="625"/>
      <c r="DK33" s="626"/>
      <c r="DL33" s="602">
        <v>12908579</v>
      </c>
      <c r="DM33" s="625"/>
      <c r="DN33" s="625"/>
      <c r="DO33" s="625"/>
      <c r="DP33" s="625"/>
      <c r="DQ33" s="625"/>
      <c r="DR33" s="625"/>
      <c r="DS33" s="625"/>
      <c r="DT33" s="625"/>
      <c r="DU33" s="625"/>
      <c r="DV33" s="626"/>
      <c r="DW33" s="598">
        <v>36.1</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5816086</v>
      </c>
      <c r="CS34" s="594"/>
      <c r="CT34" s="594"/>
      <c r="CU34" s="594"/>
      <c r="CV34" s="594"/>
      <c r="CW34" s="594"/>
      <c r="CX34" s="594"/>
      <c r="CY34" s="595"/>
      <c r="CZ34" s="627">
        <v>9.6</v>
      </c>
      <c r="DA34" s="628"/>
      <c r="DB34" s="628"/>
      <c r="DC34" s="629"/>
      <c r="DD34" s="602">
        <v>4557493</v>
      </c>
      <c r="DE34" s="594"/>
      <c r="DF34" s="594"/>
      <c r="DG34" s="594"/>
      <c r="DH34" s="594"/>
      <c r="DI34" s="594"/>
      <c r="DJ34" s="594"/>
      <c r="DK34" s="595"/>
      <c r="DL34" s="602">
        <v>4053848</v>
      </c>
      <c r="DM34" s="594"/>
      <c r="DN34" s="594"/>
      <c r="DO34" s="594"/>
      <c r="DP34" s="594"/>
      <c r="DQ34" s="594"/>
      <c r="DR34" s="594"/>
      <c r="DS34" s="594"/>
      <c r="DT34" s="594"/>
      <c r="DU34" s="594"/>
      <c r="DV34" s="595"/>
      <c r="DW34" s="598">
        <v>11.3</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3631900</v>
      </c>
      <c r="S35" s="594"/>
      <c r="T35" s="594"/>
      <c r="U35" s="594"/>
      <c r="V35" s="594"/>
      <c r="W35" s="594"/>
      <c r="X35" s="594"/>
      <c r="Y35" s="595"/>
      <c r="Z35" s="596">
        <v>6</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7050231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483398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758321</v>
      </c>
      <c r="CS35" s="625"/>
      <c r="CT35" s="625"/>
      <c r="CU35" s="625"/>
      <c r="CV35" s="625"/>
      <c r="CW35" s="625"/>
      <c r="CX35" s="625"/>
      <c r="CY35" s="626"/>
      <c r="CZ35" s="627">
        <v>1.3</v>
      </c>
      <c r="DA35" s="628"/>
      <c r="DB35" s="628"/>
      <c r="DC35" s="629"/>
      <c r="DD35" s="602">
        <v>740888</v>
      </c>
      <c r="DE35" s="625"/>
      <c r="DF35" s="625"/>
      <c r="DG35" s="625"/>
      <c r="DH35" s="625"/>
      <c r="DI35" s="625"/>
      <c r="DJ35" s="625"/>
      <c r="DK35" s="626"/>
      <c r="DL35" s="602">
        <v>740888</v>
      </c>
      <c r="DM35" s="625"/>
      <c r="DN35" s="625"/>
      <c r="DO35" s="625"/>
      <c r="DP35" s="625"/>
      <c r="DQ35" s="625"/>
      <c r="DR35" s="625"/>
      <c r="DS35" s="625"/>
      <c r="DT35" s="625"/>
      <c r="DU35" s="625"/>
      <c r="DV35" s="626"/>
      <c r="DW35" s="598">
        <v>2.1</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60726462</v>
      </c>
      <c r="S36" s="666"/>
      <c r="T36" s="666"/>
      <c r="U36" s="666"/>
      <c r="V36" s="666"/>
      <c r="W36" s="666"/>
      <c r="X36" s="666"/>
      <c r="Y36" s="667"/>
      <c r="Z36" s="668">
        <v>100</v>
      </c>
      <c r="AA36" s="668"/>
      <c r="AB36" s="668"/>
      <c r="AC36" s="668"/>
      <c r="AD36" s="669">
        <v>32155765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2053317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208183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4469796</v>
      </c>
      <c r="CS36" s="594"/>
      <c r="CT36" s="594"/>
      <c r="CU36" s="594"/>
      <c r="CV36" s="594"/>
      <c r="CW36" s="594"/>
      <c r="CX36" s="594"/>
      <c r="CY36" s="595"/>
      <c r="CZ36" s="627">
        <v>7.4</v>
      </c>
      <c r="DA36" s="628"/>
      <c r="DB36" s="628"/>
      <c r="DC36" s="629"/>
      <c r="DD36" s="602">
        <v>3985660</v>
      </c>
      <c r="DE36" s="594"/>
      <c r="DF36" s="594"/>
      <c r="DG36" s="594"/>
      <c r="DH36" s="594"/>
      <c r="DI36" s="594"/>
      <c r="DJ36" s="594"/>
      <c r="DK36" s="595"/>
      <c r="DL36" s="602">
        <v>3206025</v>
      </c>
      <c r="DM36" s="594"/>
      <c r="DN36" s="594"/>
      <c r="DO36" s="594"/>
      <c r="DP36" s="594"/>
      <c r="DQ36" s="594"/>
      <c r="DR36" s="594"/>
      <c r="DS36" s="594"/>
      <c r="DT36" s="594"/>
      <c r="DU36" s="594"/>
      <c r="DV36" s="595"/>
      <c r="DW36" s="598">
        <v>9</v>
      </c>
      <c r="DX36" s="619"/>
      <c r="DY36" s="619"/>
      <c r="DZ36" s="619"/>
      <c r="EA36" s="619"/>
      <c r="EB36" s="619"/>
      <c r="EC36" s="620"/>
    </row>
    <row r="37" spans="2:133" ht="11.25" customHeight="1">
      <c r="AQ37" s="672" t="s">
        <v>313</v>
      </c>
      <c r="AR37" s="673"/>
      <c r="AS37" s="673"/>
      <c r="AT37" s="673"/>
      <c r="AU37" s="673"/>
      <c r="AV37" s="673"/>
      <c r="AW37" s="673"/>
      <c r="AX37" s="673"/>
      <c r="AY37" s="674"/>
      <c r="AZ37" s="593">
        <v>50509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27603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1887411</v>
      </c>
      <c r="CS37" s="625"/>
      <c r="CT37" s="625"/>
      <c r="CU37" s="625"/>
      <c r="CV37" s="625"/>
      <c r="CW37" s="625"/>
      <c r="CX37" s="625"/>
      <c r="CY37" s="626"/>
      <c r="CZ37" s="627">
        <v>3.1</v>
      </c>
      <c r="DA37" s="628"/>
      <c r="DB37" s="628"/>
      <c r="DC37" s="629"/>
      <c r="DD37" s="602">
        <v>1887096</v>
      </c>
      <c r="DE37" s="625"/>
      <c r="DF37" s="625"/>
      <c r="DG37" s="625"/>
      <c r="DH37" s="625"/>
      <c r="DI37" s="625"/>
      <c r="DJ37" s="625"/>
      <c r="DK37" s="626"/>
      <c r="DL37" s="602">
        <v>1375132</v>
      </c>
      <c r="DM37" s="625"/>
      <c r="DN37" s="625"/>
      <c r="DO37" s="625"/>
      <c r="DP37" s="625"/>
      <c r="DQ37" s="625"/>
      <c r="DR37" s="625"/>
      <c r="DS37" s="625"/>
      <c r="DT37" s="625"/>
      <c r="DU37" s="625"/>
      <c r="DV37" s="626"/>
      <c r="DW37" s="598">
        <v>3.8</v>
      </c>
      <c r="DX37" s="619"/>
      <c r="DY37" s="619"/>
      <c r="DZ37" s="619"/>
      <c r="EA37" s="619"/>
      <c r="EB37" s="619"/>
      <c r="EC37" s="620"/>
    </row>
    <row r="38" spans="2:133" ht="11.25" customHeight="1">
      <c r="AQ38" s="672" t="s">
        <v>316</v>
      </c>
      <c r="AR38" s="673"/>
      <c r="AS38" s="673"/>
      <c r="AT38" s="673"/>
      <c r="AU38" s="673"/>
      <c r="AV38" s="673"/>
      <c r="AW38" s="673"/>
      <c r="AX38" s="673"/>
      <c r="AY38" s="674"/>
      <c r="AZ38" s="593">
        <v>31448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46644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6999722</v>
      </c>
      <c r="CS38" s="594"/>
      <c r="CT38" s="594"/>
      <c r="CU38" s="594"/>
      <c r="CV38" s="594"/>
      <c r="CW38" s="594"/>
      <c r="CX38" s="594"/>
      <c r="CY38" s="595"/>
      <c r="CZ38" s="627">
        <v>11.6</v>
      </c>
      <c r="DA38" s="628"/>
      <c r="DB38" s="628"/>
      <c r="DC38" s="629"/>
      <c r="DD38" s="602">
        <v>6054562</v>
      </c>
      <c r="DE38" s="594"/>
      <c r="DF38" s="594"/>
      <c r="DG38" s="594"/>
      <c r="DH38" s="594"/>
      <c r="DI38" s="594"/>
      <c r="DJ38" s="594"/>
      <c r="DK38" s="595"/>
      <c r="DL38" s="602">
        <v>4907438</v>
      </c>
      <c r="DM38" s="594"/>
      <c r="DN38" s="594"/>
      <c r="DO38" s="594"/>
      <c r="DP38" s="594"/>
      <c r="DQ38" s="594"/>
      <c r="DR38" s="594"/>
      <c r="DS38" s="594"/>
      <c r="DT38" s="594"/>
      <c r="DU38" s="594"/>
      <c r="DV38" s="595"/>
      <c r="DW38" s="598">
        <v>13.7</v>
      </c>
      <c r="DX38" s="619"/>
      <c r="DY38" s="619"/>
      <c r="DZ38" s="619"/>
      <c r="EA38" s="619"/>
      <c r="EB38" s="619"/>
      <c r="EC38" s="620"/>
    </row>
    <row r="39" spans="2:133" ht="11.25" customHeight="1">
      <c r="AQ39" s="672" t="s">
        <v>319</v>
      </c>
      <c r="AR39" s="673"/>
      <c r="AS39" s="673"/>
      <c r="AT39" s="673"/>
      <c r="AU39" s="673"/>
      <c r="AV39" s="673"/>
      <c r="AW39" s="673"/>
      <c r="AX39" s="673"/>
      <c r="AY39" s="674"/>
      <c r="AZ39" s="593" t="s">
        <v>218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357158</v>
      </c>
      <c r="CS39" s="625"/>
      <c r="CT39" s="625"/>
      <c r="CU39" s="625"/>
      <c r="CV39" s="625"/>
      <c r="CW39" s="625"/>
      <c r="CX39" s="625"/>
      <c r="CY39" s="626"/>
      <c r="CZ39" s="627">
        <v>0.6</v>
      </c>
      <c r="DA39" s="628"/>
      <c r="DB39" s="628"/>
      <c r="DC39" s="629"/>
      <c r="DD39" s="602">
        <v>283483</v>
      </c>
      <c r="DE39" s="625"/>
      <c r="DF39" s="625"/>
      <c r="DG39" s="625"/>
      <c r="DH39" s="625"/>
      <c r="DI39" s="625"/>
      <c r="DJ39" s="625"/>
      <c r="DK39" s="626"/>
      <c r="DL39" s="602" t="s">
        <v>218</v>
      </c>
      <c r="DM39" s="625"/>
      <c r="DN39" s="625"/>
      <c r="DO39" s="625"/>
      <c r="DP39" s="625"/>
      <c r="DQ39" s="625"/>
      <c r="DR39" s="625"/>
      <c r="DS39" s="625"/>
      <c r="DT39" s="625"/>
      <c r="DU39" s="625"/>
      <c r="DV39" s="626"/>
      <c r="DW39" s="598" t="s">
        <v>218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1390510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2413236</v>
      </c>
      <c r="CS40" s="594"/>
      <c r="CT40" s="594"/>
      <c r="CU40" s="594"/>
      <c r="CV40" s="594"/>
      <c r="CW40" s="594"/>
      <c r="CX40" s="594"/>
      <c r="CY40" s="595"/>
      <c r="CZ40" s="627">
        <v>4</v>
      </c>
      <c r="DA40" s="628"/>
      <c r="DB40" s="628"/>
      <c r="DC40" s="629"/>
      <c r="DD40" s="602">
        <v>10627</v>
      </c>
      <c r="DE40" s="594"/>
      <c r="DF40" s="594"/>
      <c r="DG40" s="594"/>
      <c r="DH40" s="594"/>
      <c r="DI40" s="594"/>
      <c r="DJ40" s="594"/>
      <c r="DK40" s="595"/>
      <c r="DL40" s="602">
        <v>380</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3524447</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302</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277</v>
      </c>
      <c r="CS41" s="625"/>
      <c r="CT41" s="625"/>
      <c r="CU41" s="625"/>
      <c r="CV41" s="625"/>
      <c r="CW41" s="625"/>
      <c r="CX41" s="625"/>
      <c r="CY41" s="626"/>
      <c r="CZ41" s="627" t="s">
        <v>277</v>
      </c>
      <c r="DA41" s="628"/>
      <c r="DB41" s="628"/>
      <c r="DC41" s="629"/>
      <c r="DD41" s="602" t="s">
        <v>277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5227422</v>
      </c>
      <c r="CS42" s="594"/>
      <c r="CT42" s="594"/>
      <c r="CU42" s="594"/>
      <c r="CV42" s="594"/>
      <c r="CW42" s="594"/>
      <c r="CX42" s="594"/>
      <c r="CY42" s="595"/>
      <c r="CZ42" s="627">
        <v>8.6999999999999993</v>
      </c>
      <c r="DA42" s="676"/>
      <c r="DB42" s="676"/>
      <c r="DC42" s="677"/>
      <c r="DD42" s="602">
        <v>1868467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137705</v>
      </c>
      <c r="CS43" s="625"/>
      <c r="CT43" s="625"/>
      <c r="CU43" s="625"/>
      <c r="CV43" s="625"/>
      <c r="CW43" s="625"/>
      <c r="CX43" s="625"/>
      <c r="CY43" s="626"/>
      <c r="CZ43" s="627">
        <v>0.2</v>
      </c>
      <c r="DA43" s="628"/>
      <c r="DB43" s="628"/>
      <c r="DC43" s="629"/>
      <c r="DD43" s="602">
        <v>127874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4591929</v>
      </c>
      <c r="CS44" s="594"/>
      <c r="CT44" s="594"/>
      <c r="CU44" s="594"/>
      <c r="CV44" s="594"/>
      <c r="CW44" s="594"/>
      <c r="CX44" s="594"/>
      <c r="CY44" s="595"/>
      <c r="CZ44" s="627">
        <v>7.6</v>
      </c>
      <c r="DA44" s="676"/>
      <c r="DB44" s="676"/>
      <c r="DC44" s="677"/>
      <c r="DD44" s="602">
        <v>1705098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1873888</v>
      </c>
      <c r="CS45" s="625"/>
      <c r="CT45" s="625"/>
      <c r="CU45" s="625"/>
      <c r="CV45" s="625"/>
      <c r="CW45" s="625"/>
      <c r="CX45" s="625"/>
      <c r="CY45" s="626"/>
      <c r="CZ45" s="627">
        <v>3.1</v>
      </c>
      <c r="DA45" s="628"/>
      <c r="DB45" s="628"/>
      <c r="DC45" s="629"/>
      <c r="DD45" s="602">
        <v>248459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2676645</v>
      </c>
      <c r="CS46" s="594"/>
      <c r="CT46" s="594"/>
      <c r="CU46" s="594"/>
      <c r="CV46" s="594"/>
      <c r="CW46" s="594"/>
      <c r="CX46" s="594"/>
      <c r="CY46" s="595"/>
      <c r="CZ46" s="627">
        <v>4.4000000000000004</v>
      </c>
      <c r="DA46" s="676"/>
      <c r="DB46" s="676"/>
      <c r="DC46" s="677"/>
      <c r="DD46" s="602">
        <v>1448343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635493</v>
      </c>
      <c r="CS47" s="625"/>
      <c r="CT47" s="625"/>
      <c r="CU47" s="625"/>
      <c r="CV47" s="625"/>
      <c r="CW47" s="625"/>
      <c r="CX47" s="625"/>
      <c r="CY47" s="626"/>
      <c r="CZ47" s="627">
        <v>1.1000000000000001</v>
      </c>
      <c r="DA47" s="628"/>
      <c r="DB47" s="628"/>
      <c r="DC47" s="629"/>
      <c r="DD47" s="602">
        <v>163369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60274770</v>
      </c>
      <c r="CS49" s="661"/>
      <c r="CT49" s="661"/>
      <c r="CU49" s="661"/>
      <c r="CV49" s="661"/>
      <c r="CW49" s="661"/>
      <c r="CX49" s="661"/>
      <c r="CY49" s="688"/>
      <c r="CZ49" s="689">
        <v>100</v>
      </c>
      <c r="DA49" s="690"/>
      <c r="DB49" s="690"/>
      <c r="DC49" s="691"/>
      <c r="DD49" s="692">
        <v>38364938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R1" zoomScale="70" zoomScaleNormal="25" zoomScaleSheetLayoutView="70" workbookViewId="0">
      <selection activeCell="CM18" sqref="CM18:CQ1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f>ROUND(60769633/1000,0)</f>
        <v>60770</v>
      </c>
      <c r="R7" s="723">
        <v>60769633</v>
      </c>
      <c r="S7" s="723">
        <v>60769633</v>
      </c>
      <c r="T7" s="723">
        <v>60769633</v>
      </c>
      <c r="U7" s="723">
        <v>60769633</v>
      </c>
      <c r="V7" s="723">
        <f>ROUND(60319028/1000,0)</f>
        <v>60319</v>
      </c>
      <c r="W7" s="723">
        <v>60319028</v>
      </c>
      <c r="X7" s="723">
        <v>60319028</v>
      </c>
      <c r="Y7" s="723">
        <v>60319028</v>
      </c>
      <c r="Z7" s="723">
        <v>60319028</v>
      </c>
      <c r="AA7" s="723">
        <f>Q7-V7</f>
        <v>451</v>
      </c>
      <c r="AB7" s="723">
        <f>Z7-AA7</f>
        <v>60318577</v>
      </c>
      <c r="AC7" s="723">
        <f>AA7-AB7</f>
        <v>-60318126</v>
      </c>
      <c r="AD7" s="723">
        <f>AB7-AC7</f>
        <v>120636703</v>
      </c>
      <c r="AE7" s="724">
        <f>AC7-AD7</f>
        <v>-180954829</v>
      </c>
      <c r="AF7" s="725">
        <v>292</v>
      </c>
      <c r="AG7" s="726"/>
      <c r="AH7" s="726"/>
      <c r="AI7" s="726"/>
      <c r="AJ7" s="727"/>
      <c r="AK7" s="765">
        <v>313</v>
      </c>
      <c r="AL7" s="766"/>
      <c r="AM7" s="766"/>
      <c r="AN7" s="766"/>
      <c r="AO7" s="766"/>
      <c r="AP7" s="766">
        <f>ROUND(45663145/1000,0)</f>
        <v>45663</v>
      </c>
      <c r="AQ7" s="766"/>
      <c r="AR7" s="766"/>
      <c r="AS7" s="766"/>
      <c r="AT7" s="766"/>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c r="BS7" s="769" t="s">
        <v>544</v>
      </c>
      <c r="BT7" s="770" t="s">
        <v>544</v>
      </c>
      <c r="BU7" s="770" t="s">
        <v>544</v>
      </c>
      <c r="BV7" s="770" t="s">
        <v>544</v>
      </c>
      <c r="BW7" s="770" t="s">
        <v>544</v>
      </c>
      <c r="BX7" s="770" t="s">
        <v>544</v>
      </c>
      <c r="BY7" s="770" t="s">
        <v>544</v>
      </c>
      <c r="BZ7" s="770" t="s">
        <v>544</v>
      </c>
      <c r="CA7" s="770" t="s">
        <v>544</v>
      </c>
      <c r="CB7" s="770" t="s">
        <v>544</v>
      </c>
      <c r="CC7" s="770" t="s">
        <v>544</v>
      </c>
      <c r="CD7" s="770" t="s">
        <v>544</v>
      </c>
      <c r="CE7" s="770" t="s">
        <v>544</v>
      </c>
      <c r="CF7" s="770" t="s">
        <v>544</v>
      </c>
      <c r="CG7" s="771" t="s">
        <v>544</v>
      </c>
      <c r="CH7" s="759">
        <f>ROUND(5881/1000,0)</f>
        <v>6</v>
      </c>
      <c r="CI7" s="760">
        <v>5881</v>
      </c>
      <c r="CJ7" s="760">
        <v>5881</v>
      </c>
      <c r="CK7" s="760">
        <v>5881</v>
      </c>
      <c r="CL7" s="761">
        <v>5881</v>
      </c>
      <c r="CM7" s="759">
        <f>ROUND(44481/1000,0)</f>
        <v>44</v>
      </c>
      <c r="CN7" s="760">
        <v>5881</v>
      </c>
      <c r="CO7" s="760">
        <v>5881</v>
      </c>
      <c r="CP7" s="760">
        <v>5881</v>
      </c>
      <c r="CQ7" s="761">
        <v>5881</v>
      </c>
      <c r="CR7" s="759">
        <f>ROUND(19000/1000,0)</f>
        <v>19</v>
      </c>
      <c r="CS7" s="760">
        <v>5881</v>
      </c>
      <c r="CT7" s="760">
        <v>5881</v>
      </c>
      <c r="CU7" s="760">
        <v>5881</v>
      </c>
      <c r="CV7" s="761">
        <v>5881</v>
      </c>
      <c r="CW7" s="759">
        <f>ROUND(16409/1000,0)</f>
        <v>16</v>
      </c>
      <c r="CX7" s="760"/>
      <c r="CY7" s="760"/>
      <c r="CZ7" s="760"/>
      <c r="DA7" s="761"/>
      <c r="DB7" s="759" t="s">
        <v>535</v>
      </c>
      <c r="DC7" s="760"/>
      <c r="DD7" s="760"/>
      <c r="DE7" s="760"/>
      <c r="DF7" s="761"/>
      <c r="DG7" s="759" t="s">
        <v>535</v>
      </c>
      <c r="DH7" s="760"/>
      <c r="DI7" s="760"/>
      <c r="DJ7" s="760"/>
      <c r="DK7" s="761"/>
      <c r="DL7" s="759"/>
      <c r="DM7" s="760"/>
      <c r="DN7" s="760"/>
      <c r="DO7" s="760"/>
      <c r="DP7" s="761"/>
      <c r="DQ7" s="762" t="s">
        <v>533</v>
      </c>
      <c r="DR7" s="763"/>
      <c r="DS7" s="763"/>
      <c r="DT7" s="763"/>
      <c r="DU7" s="764"/>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f>ROUND(62768/1000,0)</f>
        <v>63</v>
      </c>
      <c r="R8" s="747">
        <v>62768</v>
      </c>
      <c r="S8" s="747">
        <v>62768</v>
      </c>
      <c r="T8" s="747">
        <v>62768</v>
      </c>
      <c r="U8" s="747">
        <v>62768</v>
      </c>
      <c r="V8" s="747">
        <f>ROUND(62768/1000,0)</f>
        <v>63</v>
      </c>
      <c r="W8" s="747">
        <v>60319028</v>
      </c>
      <c r="X8" s="747">
        <v>60319028</v>
      </c>
      <c r="Y8" s="747">
        <v>60319028</v>
      </c>
      <c r="Z8" s="747">
        <v>60319028</v>
      </c>
      <c r="AA8" s="747">
        <f>Q8-V8</f>
        <v>0</v>
      </c>
      <c r="AB8" s="747">
        <f t="shared" ref="AB8:AE8" si="0">Z8-AA8</f>
        <v>60319028</v>
      </c>
      <c r="AC8" s="747">
        <f t="shared" si="0"/>
        <v>-60319028</v>
      </c>
      <c r="AD8" s="747">
        <f t="shared" si="0"/>
        <v>120638056</v>
      </c>
      <c r="AE8" s="748">
        <f t="shared" si="0"/>
        <v>-180957084</v>
      </c>
      <c r="AF8" s="749" t="s">
        <v>364</v>
      </c>
      <c r="AG8" s="750"/>
      <c r="AH8" s="750"/>
      <c r="AI8" s="750"/>
      <c r="AJ8" s="751"/>
      <c r="AK8" s="752">
        <v>0</v>
      </c>
      <c r="AL8" s="753"/>
      <c r="AM8" s="753"/>
      <c r="AN8" s="753"/>
      <c r="AO8" s="753"/>
      <c r="AP8" s="753">
        <f>ROUND(48519/1000,0)</f>
        <v>49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555</v>
      </c>
      <c r="BS8" s="756" t="s">
        <v>545</v>
      </c>
      <c r="BT8" s="757" t="s">
        <v>545</v>
      </c>
      <c r="BU8" s="757" t="s">
        <v>545</v>
      </c>
      <c r="BV8" s="757" t="s">
        <v>545</v>
      </c>
      <c r="BW8" s="757" t="s">
        <v>545</v>
      </c>
      <c r="BX8" s="757" t="s">
        <v>545</v>
      </c>
      <c r="BY8" s="757" t="s">
        <v>545</v>
      </c>
      <c r="BZ8" s="757" t="s">
        <v>545</v>
      </c>
      <c r="CA8" s="757" t="s">
        <v>545</v>
      </c>
      <c r="CB8" s="757" t="s">
        <v>545</v>
      </c>
      <c r="CC8" s="757" t="s">
        <v>545</v>
      </c>
      <c r="CD8" s="757" t="s">
        <v>545</v>
      </c>
      <c r="CE8" s="757" t="s">
        <v>545</v>
      </c>
      <c r="CF8" s="757" t="s">
        <v>545</v>
      </c>
      <c r="CG8" s="758" t="s">
        <v>545</v>
      </c>
      <c r="CH8" s="762">
        <f>ROUND(-12426/1000,0)</f>
        <v>-12</v>
      </c>
      <c r="CI8" s="763">
        <v>-12426</v>
      </c>
      <c r="CJ8" s="763">
        <v>-12426</v>
      </c>
      <c r="CK8" s="763">
        <v>-12426</v>
      </c>
      <c r="CL8" s="764">
        <v>-12426</v>
      </c>
      <c r="CM8" s="762">
        <f>ROUND(254329/1000,0)</f>
        <v>254</v>
      </c>
      <c r="CN8" s="763"/>
      <c r="CO8" s="763"/>
      <c r="CP8" s="763"/>
      <c r="CQ8" s="764"/>
      <c r="CR8" s="762">
        <f>ROUND(10000/1000,0)</f>
        <v>10</v>
      </c>
      <c r="CS8" s="763"/>
      <c r="CT8" s="763"/>
      <c r="CU8" s="763"/>
      <c r="CV8" s="764"/>
      <c r="CW8" s="762">
        <f>ROUND(6801/1000,0)</f>
        <v>7</v>
      </c>
      <c r="CX8" s="763"/>
      <c r="CY8" s="763"/>
      <c r="CZ8" s="763"/>
      <c r="DA8" s="764"/>
      <c r="DB8" s="762" t="s">
        <v>533</v>
      </c>
      <c r="DC8" s="763"/>
      <c r="DD8" s="763"/>
      <c r="DE8" s="763"/>
      <c r="DF8" s="764"/>
      <c r="DG8" s="762" t="s">
        <v>533</v>
      </c>
      <c r="DH8" s="763"/>
      <c r="DI8" s="763"/>
      <c r="DJ8" s="763"/>
      <c r="DK8" s="764"/>
      <c r="DL8" s="762">
        <f>ROUND(13099/1000,0)</f>
        <v>13</v>
      </c>
      <c r="DM8" s="763"/>
      <c r="DN8" s="763"/>
      <c r="DO8" s="763"/>
      <c r="DP8" s="764"/>
      <c r="DQ8" s="762">
        <f>ROUND(3930/1000,0)</f>
        <v>4</v>
      </c>
      <c r="DR8" s="763"/>
      <c r="DS8" s="763"/>
      <c r="DT8" s="763"/>
      <c r="DU8" s="764"/>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f>ROUND(11458/1000,0)</f>
        <v>11</v>
      </c>
      <c r="R9" s="747">
        <v>11458</v>
      </c>
      <c r="S9" s="747">
        <v>11458</v>
      </c>
      <c r="T9" s="747">
        <v>11458</v>
      </c>
      <c r="U9" s="747">
        <v>11458</v>
      </c>
      <c r="V9" s="747">
        <f>ROUND(10371/1000,0)</f>
        <v>10</v>
      </c>
      <c r="W9" s="747">
        <v>60319028</v>
      </c>
      <c r="X9" s="747">
        <v>60319028</v>
      </c>
      <c r="Y9" s="747">
        <v>60319028</v>
      </c>
      <c r="Z9" s="747">
        <v>60319028</v>
      </c>
      <c r="AA9" s="747">
        <f>Q9-V9</f>
        <v>1</v>
      </c>
      <c r="AB9" s="747">
        <f t="shared" ref="AB9" si="1">Z9-AA9</f>
        <v>60319027</v>
      </c>
      <c r="AC9" s="747">
        <f t="shared" ref="AC9" si="2">AA9-AB9</f>
        <v>-60319026</v>
      </c>
      <c r="AD9" s="747">
        <f t="shared" ref="AD9" si="3">AB9-AC9</f>
        <v>120638053</v>
      </c>
      <c r="AE9" s="748">
        <f t="shared" ref="AE9" si="4">AC9-AD9</f>
        <v>-180957079</v>
      </c>
      <c r="AF9" s="749">
        <v>1</v>
      </c>
      <c r="AG9" s="750"/>
      <c r="AH9" s="750"/>
      <c r="AI9" s="750"/>
      <c r="AJ9" s="751"/>
      <c r="AK9" s="752">
        <v>6</v>
      </c>
      <c r="AL9" s="753"/>
      <c r="AM9" s="753"/>
      <c r="AN9" s="753"/>
      <c r="AO9" s="753"/>
      <c r="AP9" s="753">
        <f>ROUND(48193/1000,0)</f>
        <v>48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t="s">
        <v>546</v>
      </c>
      <c r="BU9" s="757" t="s">
        <v>546</v>
      </c>
      <c r="BV9" s="757" t="s">
        <v>546</v>
      </c>
      <c r="BW9" s="757" t="s">
        <v>546</v>
      </c>
      <c r="BX9" s="757" t="s">
        <v>546</v>
      </c>
      <c r="BY9" s="757" t="s">
        <v>546</v>
      </c>
      <c r="BZ9" s="757" t="s">
        <v>546</v>
      </c>
      <c r="CA9" s="757" t="s">
        <v>546</v>
      </c>
      <c r="CB9" s="757" t="s">
        <v>546</v>
      </c>
      <c r="CC9" s="757" t="s">
        <v>546</v>
      </c>
      <c r="CD9" s="757" t="s">
        <v>546</v>
      </c>
      <c r="CE9" s="757" t="s">
        <v>546</v>
      </c>
      <c r="CF9" s="757" t="s">
        <v>546</v>
      </c>
      <c r="CG9" s="758" t="s">
        <v>546</v>
      </c>
      <c r="CH9" s="762">
        <v>0</v>
      </c>
      <c r="CI9" s="763">
        <v>0</v>
      </c>
      <c r="CJ9" s="763">
        <v>0</v>
      </c>
      <c r="CK9" s="763">
        <v>0</v>
      </c>
      <c r="CL9" s="764">
        <v>0</v>
      </c>
      <c r="CM9" s="762">
        <f>ROUND(10000/1000,0)</f>
        <v>10</v>
      </c>
      <c r="CN9" s="763"/>
      <c r="CO9" s="763"/>
      <c r="CP9" s="763"/>
      <c r="CQ9" s="764"/>
      <c r="CR9" s="762">
        <f>ROUND(10000/1000,0)</f>
        <v>10</v>
      </c>
      <c r="CS9" s="763"/>
      <c r="CT9" s="763"/>
      <c r="CU9" s="763"/>
      <c r="CV9" s="764"/>
      <c r="CW9" s="762">
        <f>ROUND(55479/1000,0)</f>
        <v>55</v>
      </c>
      <c r="CX9" s="763"/>
      <c r="CY9" s="763"/>
      <c r="CZ9" s="763"/>
      <c r="DA9" s="764"/>
      <c r="DB9" s="762" t="s">
        <v>534</v>
      </c>
      <c r="DC9" s="763"/>
      <c r="DD9" s="763"/>
      <c r="DE9" s="763"/>
      <c r="DF9" s="764"/>
      <c r="DG9" s="762" t="s">
        <v>534</v>
      </c>
      <c r="DH9" s="763"/>
      <c r="DI9" s="763"/>
      <c r="DJ9" s="763"/>
      <c r="DK9" s="764"/>
      <c r="DL9" s="762" t="s">
        <v>534</v>
      </c>
      <c r="DM9" s="763"/>
      <c r="DN9" s="763"/>
      <c r="DO9" s="763"/>
      <c r="DP9" s="764"/>
      <c r="DQ9" s="762" t="s">
        <v>533</v>
      </c>
      <c r="DR9" s="763"/>
      <c r="DS9" s="763"/>
      <c r="DT9" s="763"/>
      <c r="DU9" s="764"/>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t="s">
        <v>547</v>
      </c>
      <c r="BU10" s="757" t="s">
        <v>547</v>
      </c>
      <c r="BV10" s="757" t="s">
        <v>547</v>
      </c>
      <c r="BW10" s="757" t="s">
        <v>547</v>
      </c>
      <c r="BX10" s="757" t="s">
        <v>547</v>
      </c>
      <c r="BY10" s="757" t="s">
        <v>547</v>
      </c>
      <c r="BZ10" s="757" t="s">
        <v>547</v>
      </c>
      <c r="CA10" s="757" t="s">
        <v>547</v>
      </c>
      <c r="CB10" s="757" t="s">
        <v>547</v>
      </c>
      <c r="CC10" s="757" t="s">
        <v>547</v>
      </c>
      <c r="CD10" s="757" t="s">
        <v>547</v>
      </c>
      <c r="CE10" s="757" t="s">
        <v>547</v>
      </c>
      <c r="CF10" s="757" t="s">
        <v>547</v>
      </c>
      <c r="CG10" s="758" t="s">
        <v>547</v>
      </c>
      <c r="CH10" s="762">
        <v>1</v>
      </c>
      <c r="CI10" s="763">
        <v>1329</v>
      </c>
      <c r="CJ10" s="763">
        <v>1329</v>
      </c>
      <c r="CK10" s="763">
        <v>1329</v>
      </c>
      <c r="CL10" s="764">
        <v>1329</v>
      </c>
      <c r="CM10" s="762">
        <f>ROUND(148969/1000,0)</f>
        <v>149</v>
      </c>
      <c r="CN10" s="763"/>
      <c r="CO10" s="763"/>
      <c r="CP10" s="763"/>
      <c r="CQ10" s="764"/>
      <c r="CR10" s="762">
        <f>ROUND(30000/1000,0)</f>
        <v>30</v>
      </c>
      <c r="CS10" s="763"/>
      <c r="CT10" s="763"/>
      <c r="CU10" s="763"/>
      <c r="CV10" s="764"/>
      <c r="CW10" s="762">
        <f>ROUND(115234/1000,0)</f>
        <v>115</v>
      </c>
      <c r="CX10" s="763"/>
      <c r="CY10" s="763"/>
      <c r="CZ10" s="763"/>
      <c r="DA10" s="764"/>
      <c r="DB10" s="762" t="s">
        <v>535</v>
      </c>
      <c r="DC10" s="763"/>
      <c r="DD10" s="763"/>
      <c r="DE10" s="763"/>
      <c r="DF10" s="764"/>
      <c r="DG10" s="762" t="s">
        <v>535</v>
      </c>
      <c r="DH10" s="763"/>
      <c r="DI10" s="763"/>
      <c r="DJ10" s="763"/>
      <c r="DK10" s="764"/>
      <c r="DL10" s="762" t="s">
        <v>535</v>
      </c>
      <c r="DM10" s="763"/>
      <c r="DN10" s="763"/>
      <c r="DO10" s="763"/>
      <c r="DP10" s="764"/>
      <c r="DQ10" s="762" t="s">
        <v>533</v>
      </c>
      <c r="DR10" s="763"/>
      <c r="DS10" s="763"/>
      <c r="DT10" s="763"/>
      <c r="DU10" s="764"/>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t="s">
        <v>548</v>
      </c>
      <c r="BU11" s="757" t="s">
        <v>548</v>
      </c>
      <c r="BV11" s="757" t="s">
        <v>548</v>
      </c>
      <c r="BW11" s="757" t="s">
        <v>548</v>
      </c>
      <c r="BX11" s="757" t="s">
        <v>548</v>
      </c>
      <c r="BY11" s="757" t="s">
        <v>548</v>
      </c>
      <c r="BZ11" s="757" t="s">
        <v>548</v>
      </c>
      <c r="CA11" s="757" t="s">
        <v>548</v>
      </c>
      <c r="CB11" s="757" t="s">
        <v>548</v>
      </c>
      <c r="CC11" s="757" t="s">
        <v>548</v>
      </c>
      <c r="CD11" s="757" t="s">
        <v>548</v>
      </c>
      <c r="CE11" s="757" t="s">
        <v>548</v>
      </c>
      <c r="CF11" s="757" t="s">
        <v>548</v>
      </c>
      <c r="CG11" s="758" t="s">
        <v>548</v>
      </c>
      <c r="CH11" s="762">
        <v>3</v>
      </c>
      <c r="CI11" s="763">
        <v>2613</v>
      </c>
      <c r="CJ11" s="763">
        <v>2613</v>
      </c>
      <c r="CK11" s="763">
        <v>2613</v>
      </c>
      <c r="CL11" s="764">
        <v>2613</v>
      </c>
      <c r="CM11" s="762">
        <f>ROUND(53285/1000,0)</f>
        <v>53</v>
      </c>
      <c r="CN11" s="763"/>
      <c r="CO11" s="763"/>
      <c r="CP11" s="763"/>
      <c r="CQ11" s="764"/>
      <c r="CR11" s="762">
        <f>ROUND(50000/1000,0)</f>
        <v>50</v>
      </c>
      <c r="CS11" s="763"/>
      <c r="CT11" s="763"/>
      <c r="CU11" s="763"/>
      <c r="CV11" s="764"/>
      <c r="CW11" s="762">
        <f>ROUND(21342/1000,0)</f>
        <v>21</v>
      </c>
      <c r="CX11" s="763"/>
      <c r="CY11" s="763"/>
      <c r="CZ11" s="763"/>
      <c r="DA11" s="764"/>
      <c r="DB11" s="762" t="s">
        <v>533</v>
      </c>
      <c r="DC11" s="763"/>
      <c r="DD11" s="763"/>
      <c r="DE11" s="763"/>
      <c r="DF11" s="764"/>
      <c r="DG11" s="762" t="s">
        <v>533</v>
      </c>
      <c r="DH11" s="763"/>
      <c r="DI11" s="763"/>
      <c r="DJ11" s="763"/>
      <c r="DK11" s="764"/>
      <c r="DL11" s="762" t="s">
        <v>533</v>
      </c>
      <c r="DM11" s="763"/>
      <c r="DN11" s="763"/>
      <c r="DO11" s="763"/>
      <c r="DP11" s="764"/>
      <c r="DQ11" s="762" t="s">
        <v>533</v>
      </c>
      <c r="DR11" s="763"/>
      <c r="DS11" s="763"/>
      <c r="DT11" s="763"/>
      <c r="DU11" s="764"/>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t="s">
        <v>549</v>
      </c>
      <c r="BU12" s="757" t="s">
        <v>549</v>
      </c>
      <c r="BV12" s="757" t="s">
        <v>549</v>
      </c>
      <c r="BW12" s="757" t="s">
        <v>549</v>
      </c>
      <c r="BX12" s="757" t="s">
        <v>549</v>
      </c>
      <c r="BY12" s="757" t="s">
        <v>549</v>
      </c>
      <c r="BZ12" s="757" t="s">
        <v>549</v>
      </c>
      <c r="CA12" s="757" t="s">
        <v>549</v>
      </c>
      <c r="CB12" s="757" t="s">
        <v>549</v>
      </c>
      <c r="CC12" s="757" t="s">
        <v>549</v>
      </c>
      <c r="CD12" s="757" t="s">
        <v>549</v>
      </c>
      <c r="CE12" s="757" t="s">
        <v>549</v>
      </c>
      <c r="CF12" s="757" t="s">
        <v>549</v>
      </c>
      <c r="CG12" s="758" t="s">
        <v>549</v>
      </c>
      <c r="CH12" s="762">
        <v>-59</v>
      </c>
      <c r="CI12" s="763">
        <v>-59209</v>
      </c>
      <c r="CJ12" s="763">
        <v>-59209</v>
      </c>
      <c r="CK12" s="763">
        <v>-59209</v>
      </c>
      <c r="CL12" s="764">
        <v>-59209</v>
      </c>
      <c r="CM12" s="762">
        <f>ROUND(105481/1000,0)</f>
        <v>105</v>
      </c>
      <c r="CN12" s="763"/>
      <c r="CO12" s="763"/>
      <c r="CP12" s="763"/>
      <c r="CQ12" s="764"/>
      <c r="CR12" s="762">
        <f>ROUND(100000/1000,0)</f>
        <v>100</v>
      </c>
      <c r="CS12" s="763"/>
      <c r="CT12" s="763"/>
      <c r="CU12" s="763"/>
      <c r="CV12" s="764"/>
      <c r="CW12" s="762">
        <f>ROUND(1075/1000,0)</f>
        <v>1</v>
      </c>
      <c r="CX12" s="763"/>
      <c r="CY12" s="763"/>
      <c r="CZ12" s="763"/>
      <c r="DA12" s="764"/>
      <c r="DB12" s="762" t="s">
        <v>533</v>
      </c>
      <c r="DC12" s="763"/>
      <c r="DD12" s="763"/>
      <c r="DE12" s="763"/>
      <c r="DF12" s="764"/>
      <c r="DG12" s="762" t="s">
        <v>533</v>
      </c>
      <c r="DH12" s="763"/>
      <c r="DI12" s="763"/>
      <c r="DJ12" s="763"/>
      <c r="DK12" s="764"/>
      <c r="DL12" s="762" t="s">
        <v>533</v>
      </c>
      <c r="DM12" s="763"/>
      <c r="DN12" s="763"/>
      <c r="DO12" s="763"/>
      <c r="DP12" s="764"/>
      <c r="DQ12" s="762" t="s">
        <v>533</v>
      </c>
      <c r="DR12" s="763"/>
      <c r="DS12" s="763"/>
      <c r="DT12" s="763"/>
      <c r="DU12" s="764"/>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550</v>
      </c>
      <c r="BT13" s="757" t="s">
        <v>550</v>
      </c>
      <c r="BU13" s="757" t="s">
        <v>550</v>
      </c>
      <c r="BV13" s="757" t="s">
        <v>550</v>
      </c>
      <c r="BW13" s="757" t="s">
        <v>550</v>
      </c>
      <c r="BX13" s="757" t="s">
        <v>550</v>
      </c>
      <c r="BY13" s="757" t="s">
        <v>550</v>
      </c>
      <c r="BZ13" s="757" t="s">
        <v>550</v>
      </c>
      <c r="CA13" s="757" t="s">
        <v>550</v>
      </c>
      <c r="CB13" s="757" t="s">
        <v>550</v>
      </c>
      <c r="CC13" s="757" t="s">
        <v>550</v>
      </c>
      <c r="CD13" s="757" t="s">
        <v>550</v>
      </c>
      <c r="CE13" s="757" t="s">
        <v>550</v>
      </c>
      <c r="CF13" s="757" t="s">
        <v>550</v>
      </c>
      <c r="CG13" s="758" t="s">
        <v>550</v>
      </c>
      <c r="CH13" s="762">
        <v>0</v>
      </c>
      <c r="CI13" s="763">
        <v>-49</v>
      </c>
      <c r="CJ13" s="763">
        <v>-49</v>
      </c>
      <c r="CK13" s="763">
        <v>-49</v>
      </c>
      <c r="CL13" s="764">
        <v>-49</v>
      </c>
      <c r="CM13" s="762">
        <f>ROUND(50718/1000,0)</f>
        <v>51</v>
      </c>
      <c r="CN13" s="763"/>
      <c r="CO13" s="763"/>
      <c r="CP13" s="763"/>
      <c r="CQ13" s="764"/>
      <c r="CR13" s="762">
        <f>ROUND(50000/1000,0)</f>
        <v>50</v>
      </c>
      <c r="CS13" s="763"/>
      <c r="CT13" s="763"/>
      <c r="CU13" s="763"/>
      <c r="CV13" s="764"/>
      <c r="CW13" s="762">
        <f>ROUND(72496/1000,0)</f>
        <v>72</v>
      </c>
      <c r="CX13" s="763"/>
      <c r="CY13" s="763"/>
      <c r="CZ13" s="763"/>
      <c r="DA13" s="764"/>
      <c r="DB13" s="762" t="s">
        <v>533</v>
      </c>
      <c r="DC13" s="763"/>
      <c r="DD13" s="763"/>
      <c r="DE13" s="763"/>
      <c r="DF13" s="764"/>
      <c r="DG13" s="762" t="s">
        <v>533</v>
      </c>
      <c r="DH13" s="763"/>
      <c r="DI13" s="763"/>
      <c r="DJ13" s="763"/>
      <c r="DK13" s="764"/>
      <c r="DL13" s="762" t="s">
        <v>533</v>
      </c>
      <c r="DM13" s="763"/>
      <c r="DN13" s="763"/>
      <c r="DO13" s="763"/>
      <c r="DP13" s="764"/>
      <c r="DQ13" s="762" t="s">
        <v>533</v>
      </c>
      <c r="DR13" s="763"/>
      <c r="DS13" s="763"/>
      <c r="DT13" s="763"/>
      <c r="DU13" s="764"/>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551</v>
      </c>
      <c r="BT14" s="757" t="s">
        <v>551</v>
      </c>
      <c r="BU14" s="757" t="s">
        <v>551</v>
      </c>
      <c r="BV14" s="757" t="s">
        <v>551</v>
      </c>
      <c r="BW14" s="757" t="s">
        <v>551</v>
      </c>
      <c r="BX14" s="757" t="s">
        <v>551</v>
      </c>
      <c r="BY14" s="757" t="s">
        <v>551</v>
      </c>
      <c r="BZ14" s="757" t="s">
        <v>551</v>
      </c>
      <c r="CA14" s="757" t="s">
        <v>551</v>
      </c>
      <c r="CB14" s="757" t="s">
        <v>551</v>
      </c>
      <c r="CC14" s="757" t="s">
        <v>551</v>
      </c>
      <c r="CD14" s="757" t="s">
        <v>551</v>
      </c>
      <c r="CE14" s="757" t="s">
        <v>551</v>
      </c>
      <c r="CF14" s="757" t="s">
        <v>551</v>
      </c>
      <c r="CG14" s="758" t="s">
        <v>551</v>
      </c>
      <c r="CH14" s="762">
        <v>-1</v>
      </c>
      <c r="CI14" s="763">
        <v>-1012</v>
      </c>
      <c r="CJ14" s="763">
        <v>-1012</v>
      </c>
      <c r="CK14" s="763">
        <v>-1012</v>
      </c>
      <c r="CL14" s="764">
        <v>-1012</v>
      </c>
      <c r="CM14" s="762">
        <f>ROUND(65130/1000,0)</f>
        <v>65</v>
      </c>
      <c r="CN14" s="763"/>
      <c r="CO14" s="763"/>
      <c r="CP14" s="763"/>
      <c r="CQ14" s="764"/>
      <c r="CR14" s="762">
        <f>ROUND(25000/1000,0)</f>
        <v>25</v>
      </c>
      <c r="CS14" s="763"/>
      <c r="CT14" s="763"/>
      <c r="CU14" s="763"/>
      <c r="CV14" s="764"/>
      <c r="CW14" s="762" t="s">
        <v>554</v>
      </c>
      <c r="CX14" s="763"/>
      <c r="CY14" s="763"/>
      <c r="CZ14" s="763"/>
      <c r="DA14" s="764"/>
      <c r="DB14" s="762" t="s">
        <v>533</v>
      </c>
      <c r="DC14" s="763"/>
      <c r="DD14" s="763"/>
      <c r="DE14" s="763"/>
      <c r="DF14" s="764"/>
      <c r="DG14" s="762" t="s">
        <v>533</v>
      </c>
      <c r="DH14" s="763"/>
      <c r="DI14" s="763"/>
      <c r="DJ14" s="763"/>
      <c r="DK14" s="764"/>
      <c r="DL14" s="762" t="s">
        <v>533</v>
      </c>
      <c r="DM14" s="763"/>
      <c r="DN14" s="763"/>
      <c r="DO14" s="763"/>
      <c r="DP14" s="764"/>
      <c r="DQ14" s="762" t="s">
        <v>533</v>
      </c>
      <c r="DR14" s="763"/>
      <c r="DS14" s="763"/>
      <c r="DT14" s="763"/>
      <c r="DU14" s="764"/>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t="s">
        <v>555</v>
      </c>
      <c r="BS15" s="756" t="s">
        <v>552</v>
      </c>
      <c r="BT15" s="757" t="s">
        <v>552</v>
      </c>
      <c r="BU15" s="757" t="s">
        <v>552</v>
      </c>
      <c r="BV15" s="757" t="s">
        <v>552</v>
      </c>
      <c r="BW15" s="757" t="s">
        <v>552</v>
      </c>
      <c r="BX15" s="757" t="s">
        <v>552</v>
      </c>
      <c r="BY15" s="757" t="s">
        <v>552</v>
      </c>
      <c r="BZ15" s="757" t="s">
        <v>552</v>
      </c>
      <c r="CA15" s="757" t="s">
        <v>552</v>
      </c>
      <c r="CB15" s="757" t="s">
        <v>552</v>
      </c>
      <c r="CC15" s="757" t="s">
        <v>552</v>
      </c>
      <c r="CD15" s="757" t="s">
        <v>552</v>
      </c>
      <c r="CE15" s="757" t="s">
        <v>552</v>
      </c>
      <c r="CF15" s="757" t="s">
        <v>552</v>
      </c>
      <c r="CG15" s="758" t="s">
        <v>552</v>
      </c>
      <c r="CH15" s="762">
        <v>-12</v>
      </c>
      <c r="CI15" s="763">
        <v>-12210</v>
      </c>
      <c r="CJ15" s="763">
        <v>-12210</v>
      </c>
      <c r="CK15" s="763">
        <v>-12210</v>
      </c>
      <c r="CL15" s="764">
        <v>-12210</v>
      </c>
      <c r="CM15" s="762">
        <f>ROUND(-429931/1000,0)</f>
        <v>-430</v>
      </c>
      <c r="CN15" s="763"/>
      <c r="CO15" s="763"/>
      <c r="CP15" s="763"/>
      <c r="CQ15" s="764"/>
      <c r="CR15" s="762">
        <f>ROUND(5000/1000,0)</f>
        <v>5</v>
      </c>
      <c r="CS15" s="763"/>
      <c r="CT15" s="763"/>
      <c r="CU15" s="763"/>
      <c r="CV15" s="764"/>
      <c r="CW15" s="762" t="s">
        <v>533</v>
      </c>
      <c r="CX15" s="763"/>
      <c r="CY15" s="763"/>
      <c r="CZ15" s="763"/>
      <c r="DA15" s="764"/>
      <c r="DB15" s="762" t="s">
        <v>535</v>
      </c>
      <c r="DC15" s="763"/>
      <c r="DD15" s="763"/>
      <c r="DE15" s="763"/>
      <c r="DF15" s="764"/>
      <c r="DG15" s="762">
        <f>ROUND(2300477/1000,0)</f>
        <v>2300</v>
      </c>
      <c r="DH15" s="763"/>
      <c r="DI15" s="763"/>
      <c r="DJ15" s="763"/>
      <c r="DK15" s="764"/>
      <c r="DL15" s="762" t="s">
        <v>535</v>
      </c>
      <c r="DM15" s="763"/>
      <c r="DN15" s="763"/>
      <c r="DO15" s="763"/>
      <c r="DP15" s="764"/>
      <c r="DQ15" s="762">
        <f>ROUND(630195/1000,0)</f>
        <v>630</v>
      </c>
      <c r="DR15" s="763"/>
      <c r="DS15" s="763"/>
      <c r="DT15" s="763"/>
      <c r="DU15" s="764"/>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553</v>
      </c>
      <c r="BT16" s="757" t="s">
        <v>553</v>
      </c>
      <c r="BU16" s="757" t="s">
        <v>553</v>
      </c>
      <c r="BV16" s="757" t="s">
        <v>553</v>
      </c>
      <c r="BW16" s="757" t="s">
        <v>553</v>
      </c>
      <c r="BX16" s="757" t="s">
        <v>553</v>
      </c>
      <c r="BY16" s="757" t="s">
        <v>553</v>
      </c>
      <c r="BZ16" s="757" t="s">
        <v>553</v>
      </c>
      <c r="CA16" s="757" t="s">
        <v>553</v>
      </c>
      <c r="CB16" s="757" t="s">
        <v>553</v>
      </c>
      <c r="CC16" s="757" t="s">
        <v>553</v>
      </c>
      <c r="CD16" s="757" t="s">
        <v>553</v>
      </c>
      <c r="CE16" s="757" t="s">
        <v>553</v>
      </c>
      <c r="CF16" s="757" t="s">
        <v>553</v>
      </c>
      <c r="CG16" s="758" t="s">
        <v>553</v>
      </c>
      <c r="CH16" s="762">
        <v>-1</v>
      </c>
      <c r="CI16" s="763">
        <v>-859</v>
      </c>
      <c r="CJ16" s="763">
        <v>-859</v>
      </c>
      <c r="CK16" s="763">
        <v>-859</v>
      </c>
      <c r="CL16" s="764">
        <v>-859</v>
      </c>
      <c r="CM16" s="762">
        <f>ROUND(14414/1000,0)</f>
        <v>14</v>
      </c>
      <c r="CN16" s="763"/>
      <c r="CO16" s="763"/>
      <c r="CP16" s="763"/>
      <c r="CQ16" s="764"/>
      <c r="CR16" s="762">
        <f>ROUND(1500/1000,0)</f>
        <v>2</v>
      </c>
      <c r="CS16" s="763"/>
      <c r="CT16" s="763"/>
      <c r="CU16" s="763"/>
      <c r="CV16" s="764"/>
      <c r="CW16" s="762" t="s">
        <v>534</v>
      </c>
      <c r="CX16" s="763"/>
      <c r="CY16" s="763"/>
      <c r="CZ16" s="763"/>
      <c r="DA16" s="764"/>
      <c r="DB16" s="762" t="s">
        <v>535</v>
      </c>
      <c r="DC16" s="763"/>
      <c r="DD16" s="763"/>
      <c r="DE16" s="763"/>
      <c r="DF16" s="764"/>
      <c r="DG16" s="762" t="s">
        <v>535</v>
      </c>
      <c r="DH16" s="763"/>
      <c r="DI16" s="763"/>
      <c r="DJ16" s="763"/>
      <c r="DK16" s="764"/>
      <c r="DL16" s="762" t="s">
        <v>535</v>
      </c>
      <c r="DM16" s="763"/>
      <c r="DN16" s="763"/>
      <c r="DO16" s="763"/>
      <c r="DP16" s="764"/>
      <c r="DQ16" s="762" t="s">
        <v>535</v>
      </c>
      <c r="DR16" s="763"/>
      <c r="DS16" s="763"/>
      <c r="DT16" s="763"/>
      <c r="DU16" s="764"/>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f>ROUND(60726462/1000,0)</f>
        <v>60726</v>
      </c>
      <c r="R23" s="782"/>
      <c r="S23" s="782"/>
      <c r="T23" s="782"/>
      <c r="U23" s="782"/>
      <c r="V23" s="782">
        <f>ROUND(60274770/1000,0)</f>
        <v>60275</v>
      </c>
      <c r="W23" s="782"/>
      <c r="X23" s="782"/>
      <c r="Y23" s="782"/>
      <c r="Z23" s="782"/>
      <c r="AA23" s="782">
        <f>ROUND(451692/1000,0)</f>
        <v>452</v>
      </c>
      <c r="AB23" s="782"/>
      <c r="AC23" s="782"/>
      <c r="AD23" s="782"/>
      <c r="AE23" s="783"/>
      <c r="AF23" s="784">
        <v>293</v>
      </c>
      <c r="AG23" s="782"/>
      <c r="AH23" s="782"/>
      <c r="AI23" s="782"/>
      <c r="AJ23" s="785"/>
      <c r="AK23" s="786"/>
      <c r="AL23" s="787"/>
      <c r="AM23" s="787"/>
      <c r="AN23" s="787"/>
      <c r="AO23" s="787"/>
      <c r="AP23" s="782">
        <f>ROUND((45663145+48519+48193)/1000,0)</f>
        <v>45760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722">
        <f>ROUND(20954379/1000,0)</f>
        <v>20954</v>
      </c>
      <c r="R28" s="723">
        <v>60769633</v>
      </c>
      <c r="S28" s="723">
        <v>60769633</v>
      </c>
      <c r="T28" s="723">
        <v>60769633</v>
      </c>
      <c r="U28" s="723">
        <v>60769633</v>
      </c>
      <c r="V28" s="723">
        <f>ROUND(20470981/1000,0)</f>
        <v>20471</v>
      </c>
      <c r="W28" s="723">
        <v>60319028</v>
      </c>
      <c r="X28" s="723">
        <v>60319028</v>
      </c>
      <c r="Y28" s="723">
        <v>60319028</v>
      </c>
      <c r="Z28" s="723">
        <v>60319028</v>
      </c>
      <c r="AA28" s="723">
        <f>Q28-V28</f>
        <v>483</v>
      </c>
      <c r="AB28" s="723">
        <f>Z28-AA28</f>
        <v>60318545</v>
      </c>
      <c r="AC28" s="723">
        <f>AA28-AB28</f>
        <v>-60318062</v>
      </c>
      <c r="AD28" s="723">
        <f>AB28-AC28</f>
        <v>120636607</v>
      </c>
      <c r="AE28" s="724">
        <f>AC28-AD28</f>
        <v>-180954669</v>
      </c>
      <c r="AF28" s="810">
        <v>483</v>
      </c>
      <c r="AG28" s="811"/>
      <c r="AH28" s="811"/>
      <c r="AI28" s="811"/>
      <c r="AJ28" s="812"/>
      <c r="AK28" s="813">
        <v>1542</v>
      </c>
      <c r="AL28" s="806"/>
      <c r="AM28" s="806"/>
      <c r="AN28" s="806"/>
      <c r="AO28" s="806"/>
      <c r="AP28" s="806" t="s">
        <v>533</v>
      </c>
      <c r="AQ28" s="806"/>
      <c r="AR28" s="806"/>
      <c r="AS28" s="806"/>
      <c r="AT28" s="806"/>
      <c r="AU28" s="806" t="s">
        <v>533</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f>ROUND(2260243/1000,0)</f>
        <v>2260</v>
      </c>
      <c r="R29" s="747">
        <v>62768</v>
      </c>
      <c r="S29" s="747">
        <v>62768</v>
      </c>
      <c r="T29" s="747">
        <v>62768</v>
      </c>
      <c r="U29" s="747">
        <v>62768</v>
      </c>
      <c r="V29" s="747">
        <f>ROUND(2247577/1000,0)</f>
        <v>2248</v>
      </c>
      <c r="W29" s="747">
        <v>60319028</v>
      </c>
      <c r="X29" s="747">
        <v>60319028</v>
      </c>
      <c r="Y29" s="747">
        <v>60319028</v>
      </c>
      <c r="Z29" s="747">
        <v>60319028</v>
      </c>
      <c r="AA29" s="747">
        <f>ROUND(12666/1000,0)</f>
        <v>13</v>
      </c>
      <c r="AB29" s="747">
        <f t="shared" ref="AB29" si="5">Z29-AA29</f>
        <v>60319015</v>
      </c>
      <c r="AC29" s="747">
        <f t="shared" ref="AC29" si="6">AA29-AB29</f>
        <v>-60319002</v>
      </c>
      <c r="AD29" s="747">
        <f t="shared" ref="AD29" si="7">AB29-AC29</f>
        <v>120638017</v>
      </c>
      <c r="AE29" s="748">
        <f t="shared" ref="AE29" si="8">AC29-AD29</f>
        <v>-180957019</v>
      </c>
      <c r="AF29" s="749">
        <v>13</v>
      </c>
      <c r="AG29" s="750"/>
      <c r="AH29" s="750"/>
      <c r="AI29" s="750"/>
      <c r="AJ29" s="751"/>
      <c r="AK29" s="816">
        <v>418</v>
      </c>
      <c r="AL29" s="817"/>
      <c r="AM29" s="817"/>
      <c r="AN29" s="817"/>
      <c r="AO29" s="817"/>
      <c r="AP29" s="817" t="s">
        <v>534</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f>ROUND(12764320/1000,0)</f>
        <v>12764</v>
      </c>
      <c r="R30" s="747">
        <v>62768</v>
      </c>
      <c r="S30" s="747">
        <v>62768</v>
      </c>
      <c r="T30" s="747">
        <v>62768</v>
      </c>
      <c r="U30" s="747">
        <v>62768</v>
      </c>
      <c r="V30" s="747">
        <f>ROUND(12275930/1000,0)</f>
        <v>12276</v>
      </c>
      <c r="W30" s="747">
        <v>60319028</v>
      </c>
      <c r="X30" s="747">
        <v>60319028</v>
      </c>
      <c r="Y30" s="747">
        <v>60319028</v>
      </c>
      <c r="Z30" s="747">
        <v>60319028</v>
      </c>
      <c r="AA30" s="747">
        <f>ROUND(488390/1000,0)</f>
        <v>488</v>
      </c>
      <c r="AB30" s="747">
        <f t="shared" ref="AB30" si="9">Z30-AA30</f>
        <v>60318540</v>
      </c>
      <c r="AC30" s="747">
        <f t="shared" ref="AC30" si="10">AA30-AB30</f>
        <v>-60318052</v>
      </c>
      <c r="AD30" s="747">
        <f t="shared" ref="AD30" si="11">AB30-AC30</f>
        <v>120636592</v>
      </c>
      <c r="AE30" s="748">
        <f t="shared" ref="AE30" si="12">AC30-AD30</f>
        <v>-180954644</v>
      </c>
      <c r="AF30" s="749">
        <v>488</v>
      </c>
      <c r="AG30" s="750"/>
      <c r="AH30" s="750"/>
      <c r="AI30" s="750"/>
      <c r="AJ30" s="751"/>
      <c r="AK30" s="816">
        <v>1740</v>
      </c>
      <c r="AL30" s="817"/>
      <c r="AM30" s="817"/>
      <c r="AN30" s="817"/>
      <c r="AO30" s="817"/>
      <c r="AP30" s="817" t="s">
        <v>533</v>
      </c>
      <c r="AQ30" s="817"/>
      <c r="AR30" s="817"/>
      <c r="AS30" s="817"/>
      <c r="AT30" s="817"/>
      <c r="AU30" s="817" t="s">
        <v>533</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3406</v>
      </c>
      <c r="R31" s="747"/>
      <c r="S31" s="747"/>
      <c r="T31" s="747"/>
      <c r="U31" s="747"/>
      <c r="V31" s="747">
        <v>4282</v>
      </c>
      <c r="W31" s="747"/>
      <c r="X31" s="747"/>
      <c r="Y31" s="747"/>
      <c r="Z31" s="747"/>
      <c r="AA31" s="747">
        <v>-876</v>
      </c>
      <c r="AB31" s="747"/>
      <c r="AC31" s="747"/>
      <c r="AD31" s="747"/>
      <c r="AE31" s="748"/>
      <c r="AF31" s="749">
        <v>2011</v>
      </c>
      <c r="AG31" s="750"/>
      <c r="AH31" s="750"/>
      <c r="AI31" s="750"/>
      <c r="AJ31" s="751"/>
      <c r="AK31" s="816">
        <v>51</v>
      </c>
      <c r="AL31" s="817"/>
      <c r="AM31" s="817"/>
      <c r="AN31" s="817"/>
      <c r="AO31" s="817"/>
      <c r="AP31" s="817">
        <f>ROUND(4461052/1000,0)</f>
        <v>4461</v>
      </c>
      <c r="AQ31" s="817"/>
      <c r="AR31" s="817"/>
      <c r="AS31" s="817"/>
      <c r="AT31" s="817"/>
      <c r="AU31" s="817">
        <f>ROUND(102604/1000,0)</f>
        <v>103</v>
      </c>
      <c r="AV31" s="817"/>
      <c r="AW31" s="817"/>
      <c r="AX31" s="817"/>
      <c r="AY31" s="817"/>
      <c r="AZ31" s="818" t="s">
        <v>533</v>
      </c>
      <c r="BA31" s="818"/>
      <c r="BB31" s="818"/>
      <c r="BC31" s="818"/>
      <c r="BD31" s="818"/>
      <c r="BE31" s="814" t="s">
        <v>383</v>
      </c>
      <c r="BF31" s="814"/>
      <c r="BG31" s="814"/>
      <c r="BH31" s="814"/>
      <c r="BI31" s="815"/>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f>ROUND(116724/1000,0)</f>
        <v>117</v>
      </c>
      <c r="R32" s="747"/>
      <c r="S32" s="747"/>
      <c r="T32" s="747"/>
      <c r="U32" s="747"/>
      <c r="V32" s="748">
        <f>ROUND(112077/1000,0)</f>
        <v>112</v>
      </c>
      <c r="W32" s="750"/>
      <c r="X32" s="750"/>
      <c r="Y32" s="750"/>
      <c r="Z32" s="819"/>
      <c r="AA32" s="747">
        <v>5</v>
      </c>
      <c r="AB32" s="747"/>
      <c r="AC32" s="747"/>
      <c r="AD32" s="747"/>
      <c r="AE32" s="748"/>
      <c r="AF32" s="749">
        <v>5</v>
      </c>
      <c r="AG32" s="750"/>
      <c r="AH32" s="750"/>
      <c r="AI32" s="750"/>
      <c r="AJ32" s="751"/>
      <c r="AK32" s="816">
        <v>31</v>
      </c>
      <c r="AL32" s="817"/>
      <c r="AM32" s="817"/>
      <c r="AN32" s="817"/>
      <c r="AO32" s="817"/>
      <c r="AP32" s="817">
        <f>ROUND(964467/1000,0)</f>
        <v>964</v>
      </c>
      <c r="AQ32" s="817"/>
      <c r="AR32" s="817"/>
      <c r="AS32" s="817"/>
      <c r="AT32" s="817"/>
      <c r="AU32" s="817">
        <f>ROUND(917208/1000,0)</f>
        <v>917</v>
      </c>
      <c r="AV32" s="817"/>
      <c r="AW32" s="817"/>
      <c r="AX32" s="817"/>
      <c r="AY32" s="817"/>
      <c r="AZ32" s="818" t="s">
        <v>533</v>
      </c>
      <c r="BA32" s="818"/>
      <c r="BB32" s="818"/>
      <c r="BC32" s="818"/>
      <c r="BD32" s="818"/>
      <c r="BE32" s="814" t="s">
        <v>385</v>
      </c>
      <c r="BF32" s="814"/>
      <c r="BG32" s="814"/>
      <c r="BH32" s="814"/>
      <c r="BI32" s="815"/>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7529</v>
      </c>
      <c r="R33" s="747"/>
      <c r="S33" s="747"/>
      <c r="T33" s="747"/>
      <c r="U33" s="747"/>
      <c r="V33" s="748">
        <f>ROUND(7117767/1000,0)</f>
        <v>7118</v>
      </c>
      <c r="W33" s="750"/>
      <c r="X33" s="750"/>
      <c r="Y33" s="750"/>
      <c r="Z33" s="819"/>
      <c r="AA33" s="747">
        <v>411</v>
      </c>
      <c r="AB33" s="747"/>
      <c r="AC33" s="747"/>
      <c r="AD33" s="747"/>
      <c r="AE33" s="748"/>
      <c r="AF33" s="749">
        <v>361</v>
      </c>
      <c r="AG33" s="750"/>
      <c r="AH33" s="750"/>
      <c r="AI33" s="750"/>
      <c r="AJ33" s="751"/>
      <c r="AK33" s="816">
        <v>2053</v>
      </c>
      <c r="AL33" s="817"/>
      <c r="AM33" s="817"/>
      <c r="AN33" s="817"/>
      <c r="AO33" s="817"/>
      <c r="AP33" s="817">
        <f>ROUND(41555174/1000,0)</f>
        <v>41555</v>
      </c>
      <c r="AQ33" s="817"/>
      <c r="AR33" s="817"/>
      <c r="AS33" s="817"/>
      <c r="AT33" s="817"/>
      <c r="AU33" s="817">
        <f>ROUND(20154259/1000,0)</f>
        <v>20154</v>
      </c>
      <c r="AV33" s="817"/>
      <c r="AW33" s="817"/>
      <c r="AX33" s="817"/>
      <c r="AY33" s="817"/>
      <c r="AZ33" s="818" t="s">
        <v>533</v>
      </c>
      <c r="BA33" s="818"/>
      <c r="BB33" s="818"/>
      <c r="BC33" s="818"/>
      <c r="BD33" s="818"/>
      <c r="BE33" s="814" t="s">
        <v>385</v>
      </c>
      <c r="BF33" s="814"/>
      <c r="BG33" s="814"/>
      <c r="BH33" s="814"/>
      <c r="BI33" s="815"/>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4"/>
      <c r="BF50" s="814"/>
      <c r="BG50" s="814"/>
      <c r="BH50" s="814"/>
      <c r="BI50" s="815"/>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4"/>
      <c r="BF51" s="814"/>
      <c r="BG51" s="814"/>
      <c r="BH51" s="814"/>
      <c r="BI51" s="815"/>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4"/>
      <c r="BF52" s="814"/>
      <c r="BG52" s="814"/>
      <c r="BH52" s="814"/>
      <c r="BI52" s="815"/>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4"/>
      <c r="BF53" s="814"/>
      <c r="BG53" s="814"/>
      <c r="BH53" s="814"/>
      <c r="BI53" s="815"/>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4"/>
      <c r="BF54" s="814"/>
      <c r="BG54" s="814"/>
      <c r="BH54" s="814"/>
      <c r="BI54" s="815"/>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4"/>
      <c r="BF55" s="814"/>
      <c r="BG55" s="814"/>
      <c r="BH55" s="814"/>
      <c r="BI55" s="815"/>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4"/>
      <c r="BF56" s="814"/>
      <c r="BG56" s="814"/>
      <c r="BH56" s="814"/>
      <c r="BI56" s="815"/>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4"/>
      <c r="BF57" s="814"/>
      <c r="BG57" s="814"/>
      <c r="BH57" s="814"/>
      <c r="BI57" s="815"/>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4"/>
      <c r="BF58" s="814"/>
      <c r="BG58" s="814"/>
      <c r="BH58" s="814"/>
      <c r="BI58" s="815"/>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4"/>
      <c r="BF59" s="814"/>
      <c r="BG59" s="814"/>
      <c r="BH59" s="814"/>
      <c r="BI59" s="815"/>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4"/>
      <c r="BF60" s="814"/>
      <c r="BG60" s="814"/>
      <c r="BH60" s="814"/>
      <c r="BI60" s="815"/>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4"/>
      <c r="BF61" s="814"/>
      <c r="BG61" s="814"/>
      <c r="BH61" s="814"/>
      <c r="BI61" s="815"/>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4"/>
      <c r="BF62" s="814"/>
      <c r="BG62" s="814"/>
      <c r="BH62" s="814"/>
      <c r="BI62" s="815"/>
      <c r="BJ62" s="832"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3361</v>
      </c>
      <c r="AG63" s="829"/>
      <c r="AH63" s="829"/>
      <c r="AI63" s="829"/>
      <c r="AJ63" s="830"/>
      <c r="AK63" s="831"/>
      <c r="AL63" s="826"/>
      <c r="AM63" s="826"/>
      <c r="AN63" s="826"/>
      <c r="AO63" s="826"/>
      <c r="AP63" s="829">
        <f>ROUND((4461052+964467+41555174)/1000,0)</f>
        <v>46981</v>
      </c>
      <c r="AQ63" s="829"/>
      <c r="AR63" s="829"/>
      <c r="AS63" s="829"/>
      <c r="AT63" s="829"/>
      <c r="AU63" s="829">
        <f>ROUND((102604+917208+20154259)/1000,0)</f>
        <v>21174</v>
      </c>
      <c r="AV63" s="829"/>
      <c r="AW63" s="829"/>
      <c r="AX63" s="829"/>
      <c r="AY63" s="829"/>
      <c r="AZ63" s="833"/>
      <c r="BA63" s="833"/>
      <c r="BB63" s="833"/>
      <c r="BC63" s="833"/>
      <c r="BD63" s="833"/>
      <c r="BE63" s="834"/>
      <c r="BF63" s="834"/>
      <c r="BG63" s="834"/>
      <c r="BH63" s="834"/>
      <c r="BI63" s="835"/>
      <c r="BJ63" s="836" t="s">
        <v>110</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39" t="s">
        <v>374</v>
      </c>
      <c r="AG66" s="801"/>
      <c r="AH66" s="801"/>
      <c r="AI66" s="801"/>
      <c r="AJ66" s="840"/>
      <c r="AK66" s="705" t="s">
        <v>375</v>
      </c>
      <c r="AL66" s="729"/>
      <c r="AM66" s="729"/>
      <c r="AN66" s="729"/>
      <c r="AO66" s="730"/>
      <c r="AP66" s="705" t="s">
        <v>376</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536</v>
      </c>
      <c r="C68" s="857"/>
      <c r="D68" s="857"/>
      <c r="E68" s="857"/>
      <c r="F68" s="857"/>
      <c r="G68" s="857"/>
      <c r="H68" s="857"/>
      <c r="I68" s="857"/>
      <c r="J68" s="857"/>
      <c r="K68" s="857"/>
      <c r="L68" s="857"/>
      <c r="M68" s="857"/>
      <c r="N68" s="857"/>
      <c r="O68" s="857"/>
      <c r="P68" s="858"/>
      <c r="Q68" s="859">
        <f>ROUND(6129645/1000,0)</f>
        <v>6130</v>
      </c>
      <c r="R68" s="853"/>
      <c r="S68" s="853"/>
      <c r="T68" s="853"/>
      <c r="U68" s="853"/>
      <c r="V68" s="853">
        <f>ROUND(6048188/1000,0)</f>
        <v>6048</v>
      </c>
      <c r="W68" s="853"/>
      <c r="X68" s="853"/>
      <c r="Y68" s="853"/>
      <c r="Z68" s="853"/>
      <c r="AA68" s="853">
        <f>ROUND(81457/1000,0)</f>
        <v>81</v>
      </c>
      <c r="AB68" s="853"/>
      <c r="AC68" s="853"/>
      <c r="AD68" s="853"/>
      <c r="AE68" s="853"/>
      <c r="AF68" s="853">
        <f>ROUND(60457/1000,0)</f>
        <v>60</v>
      </c>
      <c r="AG68" s="853"/>
      <c r="AH68" s="853"/>
      <c r="AI68" s="853"/>
      <c r="AJ68" s="853"/>
      <c r="AK68" s="853">
        <f>ROUND(35860/1000,0)</f>
        <v>36</v>
      </c>
      <c r="AL68" s="853"/>
      <c r="AM68" s="853"/>
      <c r="AN68" s="853"/>
      <c r="AO68" s="853"/>
      <c r="AP68" s="853">
        <f>ROUND(3649928/1000,0)</f>
        <v>3650</v>
      </c>
      <c r="AQ68" s="853"/>
      <c r="AR68" s="853"/>
      <c r="AS68" s="853"/>
      <c r="AT68" s="853"/>
      <c r="AU68" s="853">
        <f>ROUND(1712423/1000,0)</f>
        <v>1712</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537</v>
      </c>
      <c r="C69" s="861"/>
      <c r="D69" s="861"/>
      <c r="E69" s="861"/>
      <c r="F69" s="861"/>
      <c r="G69" s="861"/>
      <c r="H69" s="861"/>
      <c r="I69" s="861"/>
      <c r="J69" s="861"/>
      <c r="K69" s="861"/>
      <c r="L69" s="861"/>
      <c r="M69" s="861"/>
      <c r="N69" s="861"/>
      <c r="O69" s="861"/>
      <c r="P69" s="862"/>
      <c r="Q69" s="863">
        <f>ROUND(12180/1000,0)</f>
        <v>12</v>
      </c>
      <c r="R69" s="817">
        <v>12180</v>
      </c>
      <c r="S69" s="817">
        <v>12180</v>
      </c>
      <c r="T69" s="817">
        <v>12180</v>
      </c>
      <c r="U69" s="817">
        <v>12180</v>
      </c>
      <c r="V69" s="817">
        <f>ROUND(9687/1000,0)</f>
        <v>10</v>
      </c>
      <c r="W69" s="817"/>
      <c r="X69" s="817"/>
      <c r="Y69" s="817"/>
      <c r="Z69" s="817"/>
      <c r="AA69" s="817">
        <f>ROUND(2493/1000,0)</f>
        <v>2</v>
      </c>
      <c r="AB69" s="817"/>
      <c r="AC69" s="817"/>
      <c r="AD69" s="817"/>
      <c r="AE69" s="817"/>
      <c r="AF69" s="817">
        <f>ROUND(2493/1000,0)</f>
        <v>2</v>
      </c>
      <c r="AG69" s="817"/>
      <c r="AH69" s="817"/>
      <c r="AI69" s="817"/>
      <c r="AJ69" s="817"/>
      <c r="AK69" s="817" t="s">
        <v>534</v>
      </c>
      <c r="AL69" s="817"/>
      <c r="AM69" s="817"/>
      <c r="AN69" s="817"/>
      <c r="AO69" s="817"/>
      <c r="AP69" s="817" t="s">
        <v>534</v>
      </c>
      <c r="AQ69" s="817"/>
      <c r="AR69" s="817"/>
      <c r="AS69" s="817"/>
      <c r="AT69" s="817"/>
      <c r="AU69" s="817" t="s">
        <v>534</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538</v>
      </c>
      <c r="C70" s="861"/>
      <c r="D70" s="861"/>
      <c r="E70" s="861"/>
      <c r="F70" s="861"/>
      <c r="G70" s="861"/>
      <c r="H70" s="861"/>
      <c r="I70" s="861"/>
      <c r="J70" s="861"/>
      <c r="K70" s="861"/>
      <c r="L70" s="861"/>
      <c r="M70" s="861"/>
      <c r="N70" s="861"/>
      <c r="O70" s="861"/>
      <c r="P70" s="862"/>
      <c r="Q70" s="863">
        <f>ROUND(105349/1000,0)</f>
        <v>105</v>
      </c>
      <c r="R70" s="817">
        <v>12180</v>
      </c>
      <c r="S70" s="817">
        <v>12180</v>
      </c>
      <c r="T70" s="817">
        <v>12180</v>
      </c>
      <c r="U70" s="817">
        <v>12180</v>
      </c>
      <c r="V70" s="817">
        <f>ROUND(93092/1000,0)</f>
        <v>93</v>
      </c>
      <c r="W70" s="817"/>
      <c r="X70" s="817"/>
      <c r="Y70" s="817"/>
      <c r="Z70" s="817"/>
      <c r="AA70" s="817">
        <f>ROUND(12257/1000,0)</f>
        <v>12</v>
      </c>
      <c r="AB70" s="817"/>
      <c r="AC70" s="817"/>
      <c r="AD70" s="817"/>
      <c r="AE70" s="817"/>
      <c r="AF70" s="817">
        <f>ROUND(12257/1000,0)</f>
        <v>12</v>
      </c>
      <c r="AG70" s="817"/>
      <c r="AH70" s="817"/>
      <c r="AI70" s="817"/>
      <c r="AJ70" s="817"/>
      <c r="AK70" s="817" t="s">
        <v>534</v>
      </c>
      <c r="AL70" s="817"/>
      <c r="AM70" s="817"/>
      <c r="AN70" s="817"/>
      <c r="AO70" s="817"/>
      <c r="AP70" s="817" t="s">
        <v>534</v>
      </c>
      <c r="AQ70" s="817"/>
      <c r="AR70" s="817"/>
      <c r="AS70" s="817"/>
      <c r="AT70" s="817"/>
      <c r="AU70" s="817" t="s">
        <v>534</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539</v>
      </c>
      <c r="C71" s="861"/>
      <c r="D71" s="861"/>
      <c r="E71" s="861"/>
      <c r="F71" s="861"/>
      <c r="G71" s="861"/>
      <c r="H71" s="861"/>
      <c r="I71" s="861"/>
      <c r="J71" s="861"/>
      <c r="K71" s="861"/>
      <c r="L71" s="861"/>
      <c r="M71" s="861"/>
      <c r="N71" s="861"/>
      <c r="O71" s="861"/>
      <c r="P71" s="862"/>
      <c r="Q71" s="863">
        <f>ROUND(37237/1000,0)</f>
        <v>37</v>
      </c>
      <c r="R71" s="817">
        <v>12180</v>
      </c>
      <c r="S71" s="817">
        <v>12180</v>
      </c>
      <c r="T71" s="817">
        <v>12180</v>
      </c>
      <c r="U71" s="817">
        <v>12180</v>
      </c>
      <c r="V71" s="817">
        <f>ROUND(57472/1000,0)</f>
        <v>57</v>
      </c>
      <c r="W71" s="817"/>
      <c r="X71" s="817"/>
      <c r="Y71" s="817"/>
      <c r="Z71" s="817"/>
      <c r="AA71" s="817">
        <f>ROUND(-20235/1000,0)</f>
        <v>-20</v>
      </c>
      <c r="AB71" s="817"/>
      <c r="AC71" s="817"/>
      <c r="AD71" s="817"/>
      <c r="AE71" s="817"/>
      <c r="AF71" s="817">
        <f>ROUND(4038/1000,0)</f>
        <v>4</v>
      </c>
      <c r="AG71" s="817"/>
      <c r="AH71" s="817"/>
      <c r="AI71" s="817"/>
      <c r="AJ71" s="817"/>
      <c r="AK71" s="817" t="s">
        <v>534</v>
      </c>
      <c r="AL71" s="817"/>
      <c r="AM71" s="817"/>
      <c r="AN71" s="817"/>
      <c r="AO71" s="817"/>
      <c r="AP71" s="817" t="s">
        <v>534</v>
      </c>
      <c r="AQ71" s="817"/>
      <c r="AR71" s="817"/>
      <c r="AS71" s="817"/>
      <c r="AT71" s="817"/>
      <c r="AU71" s="817" t="s">
        <v>534</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540</v>
      </c>
      <c r="C72" s="861"/>
      <c r="D72" s="861"/>
      <c r="E72" s="861"/>
      <c r="F72" s="861"/>
      <c r="G72" s="861"/>
      <c r="H72" s="861"/>
      <c r="I72" s="861"/>
      <c r="J72" s="861"/>
      <c r="K72" s="861"/>
      <c r="L72" s="861"/>
      <c r="M72" s="861"/>
      <c r="N72" s="861"/>
      <c r="O72" s="861"/>
      <c r="P72" s="862"/>
      <c r="Q72" s="863">
        <f>ROUND(862458/1000,0)</f>
        <v>862</v>
      </c>
      <c r="R72" s="817">
        <v>12180</v>
      </c>
      <c r="S72" s="817">
        <v>12180</v>
      </c>
      <c r="T72" s="817">
        <v>12180</v>
      </c>
      <c r="U72" s="817">
        <v>12180</v>
      </c>
      <c r="V72" s="817">
        <f>ROUND(107522/1000,0)</f>
        <v>108</v>
      </c>
      <c r="W72" s="817"/>
      <c r="X72" s="817"/>
      <c r="Y72" s="817"/>
      <c r="Z72" s="817"/>
      <c r="AA72" s="817">
        <f>ROUND(754936/1000,0)</f>
        <v>755</v>
      </c>
      <c r="AB72" s="817"/>
      <c r="AC72" s="817"/>
      <c r="AD72" s="817"/>
      <c r="AE72" s="817"/>
      <c r="AF72" s="817">
        <f>ROUND(730663/1000,0)</f>
        <v>731</v>
      </c>
      <c r="AG72" s="817"/>
      <c r="AH72" s="817"/>
      <c r="AI72" s="817"/>
      <c r="AJ72" s="817"/>
      <c r="AK72" s="817">
        <f>ROUND(4732/1000,0)</f>
        <v>5</v>
      </c>
      <c r="AL72" s="817"/>
      <c r="AM72" s="817"/>
      <c r="AN72" s="817"/>
      <c r="AO72" s="817"/>
      <c r="AP72" s="817">
        <f>ROUND(221721/1000,0)</f>
        <v>222</v>
      </c>
      <c r="AQ72" s="817"/>
      <c r="AR72" s="817"/>
      <c r="AS72" s="817"/>
      <c r="AT72" s="817"/>
      <c r="AU72" s="817">
        <f>ROUND(1895/1000,0)</f>
        <v>2</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541</v>
      </c>
      <c r="C73" s="861"/>
      <c r="D73" s="861"/>
      <c r="E73" s="861"/>
      <c r="F73" s="861"/>
      <c r="G73" s="861"/>
      <c r="H73" s="861"/>
      <c r="I73" s="861"/>
      <c r="J73" s="861"/>
      <c r="K73" s="861"/>
      <c r="L73" s="861"/>
      <c r="M73" s="861"/>
      <c r="N73" s="861"/>
      <c r="O73" s="861"/>
      <c r="P73" s="862"/>
      <c r="Q73" s="863">
        <f>ROUND(2613816/1000,0)</f>
        <v>2614</v>
      </c>
      <c r="R73" s="817"/>
      <c r="S73" s="817"/>
      <c r="T73" s="817"/>
      <c r="U73" s="817"/>
      <c r="V73" s="817">
        <f>ROUND(2558402/1000,0)</f>
        <v>2558</v>
      </c>
      <c r="W73" s="817"/>
      <c r="X73" s="817"/>
      <c r="Y73" s="817"/>
      <c r="Z73" s="817"/>
      <c r="AA73" s="817">
        <f>ROUND(55414/1000,0)</f>
        <v>55</v>
      </c>
      <c r="AB73" s="817"/>
      <c r="AC73" s="817"/>
      <c r="AD73" s="817"/>
      <c r="AE73" s="817"/>
      <c r="AF73" s="817">
        <f>ROUND(55414/1000,0)</f>
        <v>55</v>
      </c>
      <c r="AG73" s="817"/>
      <c r="AH73" s="817"/>
      <c r="AI73" s="817"/>
      <c r="AJ73" s="817"/>
      <c r="AK73" s="817">
        <f>ROUND(18118/1000,0)</f>
        <v>18</v>
      </c>
      <c r="AL73" s="817"/>
      <c r="AM73" s="817"/>
      <c r="AN73" s="817"/>
      <c r="AO73" s="817"/>
      <c r="AP73" s="817" t="s">
        <v>533</v>
      </c>
      <c r="AQ73" s="817"/>
      <c r="AR73" s="817"/>
      <c r="AS73" s="817"/>
      <c r="AT73" s="817"/>
      <c r="AU73" s="817" t="s">
        <v>533</v>
      </c>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542</v>
      </c>
      <c r="C74" s="861"/>
      <c r="D74" s="861"/>
      <c r="E74" s="861"/>
      <c r="F74" s="861"/>
      <c r="G74" s="861"/>
      <c r="H74" s="861"/>
      <c r="I74" s="861"/>
      <c r="J74" s="861"/>
      <c r="K74" s="861"/>
      <c r="L74" s="861"/>
      <c r="M74" s="861"/>
      <c r="N74" s="861"/>
      <c r="O74" s="861"/>
      <c r="P74" s="862"/>
      <c r="Q74" s="863">
        <f>ROUND(325976998/1000,0)</f>
        <v>325977</v>
      </c>
      <c r="R74" s="817">
        <v>12180</v>
      </c>
      <c r="S74" s="817">
        <v>12180</v>
      </c>
      <c r="T74" s="817">
        <v>12180</v>
      </c>
      <c r="U74" s="817">
        <v>12180</v>
      </c>
      <c r="V74" s="817">
        <f>ROUND(309321199/1000,0)</f>
        <v>309321</v>
      </c>
      <c r="W74" s="817"/>
      <c r="X74" s="817"/>
      <c r="Y74" s="817"/>
      <c r="Z74" s="817"/>
      <c r="AA74" s="817">
        <f>ROUND(16655799/1000,0)</f>
        <v>16656</v>
      </c>
      <c r="AB74" s="817"/>
      <c r="AC74" s="817"/>
      <c r="AD74" s="817"/>
      <c r="AE74" s="817"/>
      <c r="AF74" s="817">
        <f>ROUND(16655799/1000,0)</f>
        <v>16656</v>
      </c>
      <c r="AG74" s="817"/>
      <c r="AH74" s="817"/>
      <c r="AI74" s="817"/>
      <c r="AJ74" s="817"/>
      <c r="AK74" s="817">
        <f>ROUND(1899392/1000,0)</f>
        <v>1899</v>
      </c>
      <c r="AL74" s="817"/>
      <c r="AM74" s="817"/>
      <c r="AN74" s="817"/>
      <c r="AO74" s="817"/>
      <c r="AP74" s="817" t="s">
        <v>533</v>
      </c>
      <c r="AQ74" s="817"/>
      <c r="AR74" s="817"/>
      <c r="AS74" s="817"/>
      <c r="AT74" s="817"/>
      <c r="AU74" s="817" t="s">
        <v>533</v>
      </c>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543</v>
      </c>
      <c r="C75" s="861"/>
      <c r="D75" s="861"/>
      <c r="E75" s="861"/>
      <c r="F75" s="861"/>
      <c r="G75" s="861"/>
      <c r="H75" s="861"/>
      <c r="I75" s="861"/>
      <c r="J75" s="861"/>
      <c r="K75" s="861"/>
      <c r="L75" s="861"/>
      <c r="M75" s="861"/>
      <c r="N75" s="861"/>
      <c r="O75" s="861"/>
      <c r="P75" s="862"/>
      <c r="Q75" s="863">
        <f>ROUND(2465760/1000,0)</f>
        <v>2466</v>
      </c>
      <c r="R75" s="817">
        <v>12180</v>
      </c>
      <c r="S75" s="817">
        <v>12180</v>
      </c>
      <c r="T75" s="817">
        <v>12180</v>
      </c>
      <c r="U75" s="817">
        <v>12180</v>
      </c>
      <c r="V75" s="817">
        <f>ROUND(2464800/1000,0)</f>
        <v>2465</v>
      </c>
      <c r="W75" s="817"/>
      <c r="X75" s="817"/>
      <c r="Y75" s="817"/>
      <c r="Z75" s="817"/>
      <c r="AA75" s="817">
        <f>ROUND(960/1000,0)</f>
        <v>1</v>
      </c>
      <c r="AB75" s="817"/>
      <c r="AC75" s="817"/>
      <c r="AD75" s="817"/>
      <c r="AE75" s="817"/>
      <c r="AF75" s="817">
        <f>ROUND(960/1000,0)</f>
        <v>1</v>
      </c>
      <c r="AG75" s="817"/>
      <c r="AH75" s="817"/>
      <c r="AI75" s="817"/>
      <c r="AJ75" s="817"/>
      <c r="AK75" s="866" t="s">
        <v>533</v>
      </c>
      <c r="AL75" s="867"/>
      <c r="AM75" s="867"/>
      <c r="AN75" s="867"/>
      <c r="AO75" s="816"/>
      <c r="AP75" s="866" t="s">
        <v>533</v>
      </c>
      <c r="AQ75" s="867"/>
      <c r="AR75" s="867"/>
      <c r="AS75" s="867"/>
      <c r="AT75" s="816"/>
      <c r="AU75" s="866" t="s">
        <v>533</v>
      </c>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8"/>
      <c r="R76" s="867"/>
      <c r="S76" s="867"/>
      <c r="T76" s="867"/>
      <c r="U76" s="816"/>
      <c r="V76" s="866"/>
      <c r="W76" s="867"/>
      <c r="X76" s="867"/>
      <c r="Y76" s="867"/>
      <c r="Z76" s="816"/>
      <c r="AA76" s="866"/>
      <c r="AB76" s="867"/>
      <c r="AC76" s="867"/>
      <c r="AD76" s="867"/>
      <c r="AE76" s="816"/>
      <c r="AF76" s="866"/>
      <c r="AG76" s="867"/>
      <c r="AH76" s="867"/>
      <c r="AI76" s="867"/>
      <c r="AJ76" s="816"/>
      <c r="AK76" s="866"/>
      <c r="AL76" s="867"/>
      <c r="AM76" s="867"/>
      <c r="AN76" s="867"/>
      <c r="AO76" s="816"/>
      <c r="AP76" s="866"/>
      <c r="AQ76" s="867"/>
      <c r="AR76" s="867"/>
      <c r="AS76" s="867"/>
      <c r="AT76" s="816"/>
      <c r="AU76" s="866"/>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8"/>
      <c r="R77" s="867"/>
      <c r="S77" s="867"/>
      <c r="T77" s="867"/>
      <c r="U77" s="816"/>
      <c r="V77" s="866"/>
      <c r="W77" s="867"/>
      <c r="X77" s="867"/>
      <c r="Y77" s="867"/>
      <c r="Z77" s="816"/>
      <c r="AA77" s="866"/>
      <c r="AB77" s="867"/>
      <c r="AC77" s="867"/>
      <c r="AD77" s="867"/>
      <c r="AE77" s="816"/>
      <c r="AF77" s="866"/>
      <c r="AG77" s="867"/>
      <c r="AH77" s="867"/>
      <c r="AI77" s="867"/>
      <c r="AJ77" s="816"/>
      <c r="AK77" s="866"/>
      <c r="AL77" s="867"/>
      <c r="AM77" s="867"/>
      <c r="AN77" s="867"/>
      <c r="AO77" s="816"/>
      <c r="AP77" s="866"/>
      <c r="AQ77" s="867"/>
      <c r="AR77" s="867"/>
      <c r="AS77" s="867"/>
      <c r="AT77" s="816"/>
      <c r="AU77" s="866"/>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f>ROUND((60457+2493+12257+4038+730663+55414+16655799+960)/1000,0)</f>
        <v>17522</v>
      </c>
      <c r="AG88" s="829"/>
      <c r="AH88" s="829"/>
      <c r="AI88" s="829"/>
      <c r="AJ88" s="829"/>
      <c r="AK88" s="826"/>
      <c r="AL88" s="826"/>
      <c r="AM88" s="826"/>
      <c r="AN88" s="826"/>
      <c r="AO88" s="826"/>
      <c r="AP88" s="829">
        <f>ROUND((3649928+221721)/1000,0)</f>
        <v>3872</v>
      </c>
      <c r="AQ88" s="829"/>
      <c r="AR88" s="829"/>
      <c r="AS88" s="829"/>
      <c r="AT88" s="829"/>
      <c r="AU88" s="829">
        <f>ROUND((1712423+1895)/1000,0)</f>
        <v>1714</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f>ROUND((19000+10000+10000+30000+50000+100000+50000+25000+5000+1500)/1000,0)</f>
        <v>301</v>
      </c>
      <c r="CS102" s="837"/>
      <c r="CT102" s="837"/>
      <c r="CU102" s="837"/>
      <c r="CV102" s="880"/>
      <c r="CW102" s="879">
        <f>ROUND((16409+6801+55479+115234+21342+1075+72496)/1000,0)</f>
        <v>289</v>
      </c>
      <c r="CX102" s="837"/>
      <c r="CY102" s="837"/>
      <c r="CZ102" s="837"/>
      <c r="DA102" s="880"/>
      <c r="DB102" s="879" t="s">
        <v>535</v>
      </c>
      <c r="DC102" s="837"/>
      <c r="DD102" s="837"/>
      <c r="DE102" s="837"/>
      <c r="DF102" s="880"/>
      <c r="DG102" s="879">
        <f>ROUND(2300477/1000,0)</f>
        <v>2300</v>
      </c>
      <c r="DH102" s="837"/>
      <c r="DI102" s="837"/>
      <c r="DJ102" s="837"/>
      <c r="DK102" s="880"/>
      <c r="DL102" s="879">
        <f>ROUND(13099/1000,0)</f>
        <v>13</v>
      </c>
      <c r="DM102" s="837"/>
      <c r="DN102" s="837"/>
      <c r="DO102" s="837"/>
      <c r="DP102" s="880"/>
      <c r="DQ102" s="879">
        <f>ROUND((3930+630195)/1000,0)</f>
        <v>634</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394</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395</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401</v>
      </c>
      <c r="AB109" s="882"/>
      <c r="AC109" s="882"/>
      <c r="AD109" s="882"/>
      <c r="AE109" s="883"/>
      <c r="AF109" s="881" t="s">
        <v>285</v>
      </c>
      <c r="AG109" s="882"/>
      <c r="AH109" s="882"/>
      <c r="AI109" s="882"/>
      <c r="AJ109" s="883"/>
      <c r="AK109" s="881" t="s">
        <v>284</v>
      </c>
      <c r="AL109" s="882"/>
      <c r="AM109" s="882"/>
      <c r="AN109" s="882"/>
      <c r="AO109" s="883"/>
      <c r="AP109" s="881" t="s">
        <v>402</v>
      </c>
      <c r="AQ109" s="882"/>
      <c r="AR109" s="882"/>
      <c r="AS109" s="882"/>
      <c r="AT109" s="884"/>
      <c r="AU109" s="903" t="s">
        <v>400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401</v>
      </c>
      <c r="BR109" s="882"/>
      <c r="BS109" s="882"/>
      <c r="BT109" s="882"/>
      <c r="BU109" s="883"/>
      <c r="BV109" s="881" t="s">
        <v>285</v>
      </c>
      <c r="BW109" s="882"/>
      <c r="BX109" s="882"/>
      <c r="BY109" s="882"/>
      <c r="BZ109" s="883"/>
      <c r="CA109" s="881" t="s">
        <v>284</v>
      </c>
      <c r="CB109" s="882"/>
      <c r="CC109" s="882"/>
      <c r="CD109" s="882"/>
      <c r="CE109" s="883"/>
      <c r="CF109" s="904" t="s">
        <v>402</v>
      </c>
      <c r="CG109" s="904"/>
      <c r="CH109" s="904"/>
      <c r="CI109" s="904"/>
      <c r="CJ109" s="904"/>
      <c r="CK109" s="881" t="s">
        <v>403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401</v>
      </c>
      <c r="DH109" s="882"/>
      <c r="DI109" s="882"/>
      <c r="DJ109" s="882"/>
      <c r="DK109" s="883"/>
      <c r="DL109" s="881" t="s">
        <v>285</v>
      </c>
      <c r="DM109" s="882"/>
      <c r="DN109" s="882"/>
      <c r="DO109" s="882"/>
      <c r="DP109" s="883"/>
      <c r="DQ109" s="881" t="s">
        <v>284</v>
      </c>
      <c r="DR109" s="882"/>
      <c r="DS109" s="882"/>
      <c r="DT109" s="882"/>
      <c r="DU109" s="883"/>
      <c r="DV109" s="881" t="s">
        <v>402</v>
      </c>
      <c r="DW109" s="882"/>
      <c r="DX109" s="882"/>
      <c r="DY109" s="882"/>
      <c r="DZ109" s="884"/>
    </row>
    <row r="110" spans="1:131" s="197" customFormat="1" ht="26.25" customHeight="1">
      <c r="A110" s="885" t="s">
        <v>404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5128914</v>
      </c>
      <c r="AB110" s="889"/>
      <c r="AC110" s="889"/>
      <c r="AD110" s="889"/>
      <c r="AE110" s="890"/>
      <c r="AF110" s="891">
        <v>5377803</v>
      </c>
      <c r="AG110" s="889"/>
      <c r="AH110" s="889"/>
      <c r="AI110" s="889"/>
      <c r="AJ110" s="890"/>
      <c r="AK110" s="891">
        <v>5474135</v>
      </c>
      <c r="AL110" s="889"/>
      <c r="AM110" s="889"/>
      <c r="AN110" s="889"/>
      <c r="AO110" s="890"/>
      <c r="AP110" s="892">
        <v>18.8</v>
      </c>
      <c r="AQ110" s="893"/>
      <c r="AR110" s="893"/>
      <c r="AS110" s="893"/>
      <c r="AT110" s="894"/>
      <c r="AU110" s="895" t="s">
        <v>60</v>
      </c>
      <c r="AV110" s="896"/>
      <c r="AW110" s="896"/>
      <c r="AX110" s="896"/>
      <c r="AY110" s="897"/>
      <c r="AZ110" s="939" t="s">
        <v>405</v>
      </c>
      <c r="BA110" s="886"/>
      <c r="BB110" s="886"/>
      <c r="BC110" s="886"/>
      <c r="BD110" s="886"/>
      <c r="BE110" s="886"/>
      <c r="BF110" s="886"/>
      <c r="BG110" s="886"/>
      <c r="BH110" s="886"/>
      <c r="BI110" s="886"/>
      <c r="BJ110" s="886"/>
      <c r="BK110" s="886"/>
      <c r="BL110" s="886"/>
      <c r="BM110" s="886"/>
      <c r="BN110" s="886"/>
      <c r="BO110" s="886"/>
      <c r="BP110" s="887"/>
      <c r="BQ110" s="925">
        <v>44350915</v>
      </c>
      <c r="BR110" s="926"/>
      <c r="BS110" s="926"/>
      <c r="BT110" s="926"/>
      <c r="BU110" s="926"/>
      <c r="BV110" s="926">
        <v>45154446</v>
      </c>
      <c r="BW110" s="926"/>
      <c r="BX110" s="926"/>
      <c r="BY110" s="926"/>
      <c r="BZ110" s="926"/>
      <c r="CA110" s="926">
        <v>45759857</v>
      </c>
      <c r="CB110" s="926"/>
      <c r="CC110" s="926"/>
      <c r="CD110" s="926"/>
      <c r="CE110" s="926"/>
      <c r="CF110" s="940">
        <v>157.5</v>
      </c>
      <c r="CG110" s="941"/>
      <c r="CH110" s="941"/>
      <c r="CI110" s="941"/>
      <c r="CJ110" s="941"/>
      <c r="CK110" s="942" t="s">
        <v>406</v>
      </c>
      <c r="CL110" s="943"/>
      <c r="CM110" s="922" t="s">
        <v>407</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408</v>
      </c>
      <c r="DH110" s="926"/>
      <c r="DI110" s="926"/>
      <c r="DJ110" s="926"/>
      <c r="DK110" s="926"/>
      <c r="DL110" s="926" t="s">
        <v>408</v>
      </c>
      <c r="DM110" s="926"/>
      <c r="DN110" s="926"/>
      <c r="DO110" s="926"/>
      <c r="DP110" s="926"/>
      <c r="DQ110" s="926" t="s">
        <v>408</v>
      </c>
      <c r="DR110" s="926"/>
      <c r="DS110" s="926"/>
      <c r="DT110" s="926"/>
      <c r="DU110" s="926"/>
      <c r="DV110" s="927" t="s">
        <v>408</v>
      </c>
      <c r="DW110" s="927"/>
      <c r="DX110" s="927"/>
      <c r="DY110" s="927"/>
      <c r="DZ110" s="928"/>
    </row>
    <row r="111" spans="1:131" s="197" customFormat="1" ht="26.25" customHeight="1">
      <c r="A111" s="929" t="s">
        <v>409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410</v>
      </c>
      <c r="AB111" s="933"/>
      <c r="AC111" s="933"/>
      <c r="AD111" s="933"/>
      <c r="AE111" s="934"/>
      <c r="AF111" s="935" t="s">
        <v>410</v>
      </c>
      <c r="AG111" s="933"/>
      <c r="AH111" s="933"/>
      <c r="AI111" s="933"/>
      <c r="AJ111" s="934"/>
      <c r="AK111" s="935" t="s">
        <v>410</v>
      </c>
      <c r="AL111" s="933"/>
      <c r="AM111" s="933"/>
      <c r="AN111" s="933"/>
      <c r="AO111" s="934"/>
      <c r="AP111" s="936" t="s">
        <v>410</v>
      </c>
      <c r="AQ111" s="937"/>
      <c r="AR111" s="937"/>
      <c r="AS111" s="937"/>
      <c r="AT111" s="938"/>
      <c r="AU111" s="898"/>
      <c r="AV111" s="899"/>
      <c r="AW111" s="899"/>
      <c r="AX111" s="899"/>
      <c r="AY111" s="900"/>
      <c r="AZ111" s="948" t="s">
        <v>411</v>
      </c>
      <c r="BA111" s="949"/>
      <c r="BB111" s="949"/>
      <c r="BC111" s="949"/>
      <c r="BD111" s="949"/>
      <c r="BE111" s="949"/>
      <c r="BF111" s="949"/>
      <c r="BG111" s="949"/>
      <c r="BH111" s="949"/>
      <c r="BI111" s="949"/>
      <c r="BJ111" s="949"/>
      <c r="BK111" s="949"/>
      <c r="BL111" s="949"/>
      <c r="BM111" s="949"/>
      <c r="BN111" s="949"/>
      <c r="BO111" s="949"/>
      <c r="BP111" s="950"/>
      <c r="BQ111" s="918">
        <v>1859377</v>
      </c>
      <c r="BR111" s="919"/>
      <c r="BS111" s="919"/>
      <c r="BT111" s="919"/>
      <c r="BU111" s="919"/>
      <c r="BV111" s="919">
        <v>1812069</v>
      </c>
      <c r="BW111" s="919"/>
      <c r="BX111" s="919"/>
      <c r="BY111" s="919"/>
      <c r="BZ111" s="919"/>
      <c r="CA111" s="919">
        <v>1856483</v>
      </c>
      <c r="CB111" s="919"/>
      <c r="CC111" s="919"/>
      <c r="CD111" s="919"/>
      <c r="CE111" s="919"/>
      <c r="CF111" s="913">
        <v>6.4</v>
      </c>
      <c r="CG111" s="914"/>
      <c r="CH111" s="914"/>
      <c r="CI111" s="914"/>
      <c r="CJ111" s="914"/>
      <c r="CK111" s="944"/>
      <c r="CL111" s="945"/>
      <c r="CM111" s="915" t="s">
        <v>412</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410</v>
      </c>
      <c r="DH111" s="919"/>
      <c r="DI111" s="919"/>
      <c r="DJ111" s="919"/>
      <c r="DK111" s="919"/>
      <c r="DL111" s="919" t="s">
        <v>410</v>
      </c>
      <c r="DM111" s="919"/>
      <c r="DN111" s="919"/>
      <c r="DO111" s="919"/>
      <c r="DP111" s="919"/>
      <c r="DQ111" s="919" t="s">
        <v>410</v>
      </c>
      <c r="DR111" s="919"/>
      <c r="DS111" s="919"/>
      <c r="DT111" s="919"/>
      <c r="DU111" s="919"/>
      <c r="DV111" s="920" t="s">
        <v>410</v>
      </c>
      <c r="DW111" s="920"/>
      <c r="DX111" s="920"/>
      <c r="DY111" s="920"/>
      <c r="DZ111" s="921"/>
    </row>
    <row r="112" spans="1:131" s="197" customFormat="1" ht="26.25" customHeight="1">
      <c r="A112" s="951" t="s">
        <v>413</v>
      </c>
      <c r="B112" s="952"/>
      <c r="C112" s="949" t="s">
        <v>414</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410</v>
      </c>
      <c r="AB112" s="958"/>
      <c r="AC112" s="958"/>
      <c r="AD112" s="958"/>
      <c r="AE112" s="959"/>
      <c r="AF112" s="960" t="s">
        <v>410</v>
      </c>
      <c r="AG112" s="958"/>
      <c r="AH112" s="958"/>
      <c r="AI112" s="958"/>
      <c r="AJ112" s="959"/>
      <c r="AK112" s="960" t="s">
        <v>410</v>
      </c>
      <c r="AL112" s="958"/>
      <c r="AM112" s="958"/>
      <c r="AN112" s="958"/>
      <c r="AO112" s="959"/>
      <c r="AP112" s="961" t="s">
        <v>410</v>
      </c>
      <c r="AQ112" s="962"/>
      <c r="AR112" s="962"/>
      <c r="AS112" s="962"/>
      <c r="AT112" s="963"/>
      <c r="AU112" s="898"/>
      <c r="AV112" s="899"/>
      <c r="AW112" s="899"/>
      <c r="AX112" s="899"/>
      <c r="AY112" s="900"/>
      <c r="AZ112" s="948" t="s">
        <v>415</v>
      </c>
      <c r="BA112" s="949"/>
      <c r="BB112" s="949"/>
      <c r="BC112" s="949"/>
      <c r="BD112" s="949"/>
      <c r="BE112" s="949"/>
      <c r="BF112" s="949"/>
      <c r="BG112" s="949"/>
      <c r="BH112" s="949"/>
      <c r="BI112" s="949"/>
      <c r="BJ112" s="949"/>
      <c r="BK112" s="949"/>
      <c r="BL112" s="949"/>
      <c r="BM112" s="949"/>
      <c r="BN112" s="949"/>
      <c r="BO112" s="949"/>
      <c r="BP112" s="950"/>
      <c r="BQ112" s="918">
        <v>21918263</v>
      </c>
      <c r="BR112" s="919"/>
      <c r="BS112" s="919"/>
      <c r="BT112" s="919"/>
      <c r="BU112" s="919"/>
      <c r="BV112" s="919">
        <v>21258184</v>
      </c>
      <c r="BW112" s="919"/>
      <c r="BX112" s="919"/>
      <c r="BY112" s="919"/>
      <c r="BZ112" s="919"/>
      <c r="CA112" s="919">
        <v>21174071</v>
      </c>
      <c r="CB112" s="919"/>
      <c r="CC112" s="919"/>
      <c r="CD112" s="919"/>
      <c r="CE112" s="919"/>
      <c r="CF112" s="913">
        <v>72.900000000000006</v>
      </c>
      <c r="CG112" s="914"/>
      <c r="CH112" s="914"/>
      <c r="CI112" s="914"/>
      <c r="CJ112" s="914"/>
      <c r="CK112" s="944"/>
      <c r="CL112" s="945"/>
      <c r="CM112" s="915" t="s">
        <v>416</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410</v>
      </c>
      <c r="DH112" s="919"/>
      <c r="DI112" s="919"/>
      <c r="DJ112" s="919"/>
      <c r="DK112" s="919"/>
      <c r="DL112" s="919" t="s">
        <v>410</v>
      </c>
      <c r="DM112" s="919"/>
      <c r="DN112" s="919"/>
      <c r="DO112" s="919"/>
      <c r="DP112" s="919"/>
      <c r="DQ112" s="919" t="s">
        <v>410</v>
      </c>
      <c r="DR112" s="919"/>
      <c r="DS112" s="919"/>
      <c r="DT112" s="919"/>
      <c r="DU112" s="919"/>
      <c r="DV112" s="920" t="s">
        <v>410</v>
      </c>
      <c r="DW112" s="920"/>
      <c r="DX112" s="920"/>
      <c r="DY112" s="920"/>
      <c r="DZ112" s="921"/>
    </row>
    <row r="113" spans="1:130" s="197" customFormat="1" ht="26.25" customHeight="1">
      <c r="A113" s="953"/>
      <c r="B113" s="954"/>
      <c r="C113" s="949" t="s">
        <v>417</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1501812</v>
      </c>
      <c r="AB113" s="933"/>
      <c r="AC113" s="933"/>
      <c r="AD113" s="933"/>
      <c r="AE113" s="934"/>
      <c r="AF113" s="935">
        <v>1518036</v>
      </c>
      <c r="AG113" s="933"/>
      <c r="AH113" s="933"/>
      <c r="AI113" s="933"/>
      <c r="AJ113" s="934"/>
      <c r="AK113" s="935">
        <v>1675290</v>
      </c>
      <c r="AL113" s="933"/>
      <c r="AM113" s="933"/>
      <c r="AN113" s="933"/>
      <c r="AO113" s="934"/>
      <c r="AP113" s="936">
        <v>5.8</v>
      </c>
      <c r="AQ113" s="937"/>
      <c r="AR113" s="937"/>
      <c r="AS113" s="937"/>
      <c r="AT113" s="938"/>
      <c r="AU113" s="898"/>
      <c r="AV113" s="899"/>
      <c r="AW113" s="899"/>
      <c r="AX113" s="899"/>
      <c r="AY113" s="900"/>
      <c r="AZ113" s="948" t="s">
        <v>418</v>
      </c>
      <c r="BA113" s="949"/>
      <c r="BB113" s="949"/>
      <c r="BC113" s="949"/>
      <c r="BD113" s="949"/>
      <c r="BE113" s="949"/>
      <c r="BF113" s="949"/>
      <c r="BG113" s="949"/>
      <c r="BH113" s="949"/>
      <c r="BI113" s="949"/>
      <c r="BJ113" s="949"/>
      <c r="BK113" s="949"/>
      <c r="BL113" s="949"/>
      <c r="BM113" s="949"/>
      <c r="BN113" s="949"/>
      <c r="BO113" s="949"/>
      <c r="BP113" s="950"/>
      <c r="BQ113" s="918">
        <v>1648285</v>
      </c>
      <c r="BR113" s="919"/>
      <c r="BS113" s="919"/>
      <c r="BT113" s="919"/>
      <c r="BU113" s="919"/>
      <c r="BV113" s="919">
        <v>1465313</v>
      </c>
      <c r="BW113" s="919"/>
      <c r="BX113" s="919"/>
      <c r="BY113" s="919"/>
      <c r="BZ113" s="919"/>
      <c r="CA113" s="919">
        <v>1714318</v>
      </c>
      <c r="CB113" s="919"/>
      <c r="CC113" s="919"/>
      <c r="CD113" s="919"/>
      <c r="CE113" s="919"/>
      <c r="CF113" s="913">
        <v>5.9</v>
      </c>
      <c r="CG113" s="914"/>
      <c r="CH113" s="914"/>
      <c r="CI113" s="914"/>
      <c r="CJ113" s="914"/>
      <c r="CK113" s="944"/>
      <c r="CL113" s="945"/>
      <c r="CM113" s="915" t="s">
        <v>419</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410</v>
      </c>
      <c r="DH113" s="958"/>
      <c r="DI113" s="958"/>
      <c r="DJ113" s="958"/>
      <c r="DK113" s="959"/>
      <c r="DL113" s="960" t="s">
        <v>410</v>
      </c>
      <c r="DM113" s="958"/>
      <c r="DN113" s="958"/>
      <c r="DO113" s="958"/>
      <c r="DP113" s="959"/>
      <c r="DQ113" s="960" t="s">
        <v>410</v>
      </c>
      <c r="DR113" s="958"/>
      <c r="DS113" s="958"/>
      <c r="DT113" s="958"/>
      <c r="DU113" s="959"/>
      <c r="DV113" s="961" t="s">
        <v>410</v>
      </c>
      <c r="DW113" s="962"/>
      <c r="DX113" s="962"/>
      <c r="DY113" s="962"/>
      <c r="DZ113" s="963"/>
    </row>
    <row r="114" spans="1:130" s="197" customFormat="1" ht="26.25" customHeight="1">
      <c r="A114" s="953"/>
      <c r="B114" s="954"/>
      <c r="C114" s="949" t="s">
        <v>420</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312246</v>
      </c>
      <c r="AB114" s="958"/>
      <c r="AC114" s="958"/>
      <c r="AD114" s="958"/>
      <c r="AE114" s="959"/>
      <c r="AF114" s="960">
        <v>312834</v>
      </c>
      <c r="AG114" s="958"/>
      <c r="AH114" s="958"/>
      <c r="AI114" s="958"/>
      <c r="AJ114" s="959"/>
      <c r="AK114" s="960">
        <v>278635</v>
      </c>
      <c r="AL114" s="958"/>
      <c r="AM114" s="958"/>
      <c r="AN114" s="958"/>
      <c r="AO114" s="959"/>
      <c r="AP114" s="961">
        <v>1</v>
      </c>
      <c r="AQ114" s="962"/>
      <c r="AR114" s="962"/>
      <c r="AS114" s="962"/>
      <c r="AT114" s="963"/>
      <c r="AU114" s="898"/>
      <c r="AV114" s="899"/>
      <c r="AW114" s="899"/>
      <c r="AX114" s="899"/>
      <c r="AY114" s="900"/>
      <c r="AZ114" s="948" t="s">
        <v>421</v>
      </c>
      <c r="BA114" s="949"/>
      <c r="BB114" s="949"/>
      <c r="BC114" s="949"/>
      <c r="BD114" s="949"/>
      <c r="BE114" s="949"/>
      <c r="BF114" s="949"/>
      <c r="BG114" s="949"/>
      <c r="BH114" s="949"/>
      <c r="BI114" s="949"/>
      <c r="BJ114" s="949"/>
      <c r="BK114" s="949"/>
      <c r="BL114" s="949"/>
      <c r="BM114" s="949"/>
      <c r="BN114" s="949"/>
      <c r="BO114" s="949"/>
      <c r="BP114" s="950"/>
      <c r="BQ114" s="918">
        <v>8559549</v>
      </c>
      <c r="BR114" s="919"/>
      <c r="BS114" s="919"/>
      <c r="BT114" s="919"/>
      <c r="BU114" s="919"/>
      <c r="BV114" s="919">
        <v>9096812</v>
      </c>
      <c r="BW114" s="919"/>
      <c r="BX114" s="919"/>
      <c r="BY114" s="919"/>
      <c r="BZ114" s="919"/>
      <c r="CA114" s="919">
        <v>8678227</v>
      </c>
      <c r="CB114" s="919"/>
      <c r="CC114" s="919"/>
      <c r="CD114" s="919"/>
      <c r="CE114" s="919"/>
      <c r="CF114" s="913">
        <v>29.9</v>
      </c>
      <c r="CG114" s="914"/>
      <c r="CH114" s="914"/>
      <c r="CI114" s="914"/>
      <c r="CJ114" s="914"/>
      <c r="CK114" s="944"/>
      <c r="CL114" s="945"/>
      <c r="CM114" s="915" t="s">
        <v>422</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410</v>
      </c>
      <c r="DH114" s="958"/>
      <c r="DI114" s="958"/>
      <c r="DJ114" s="958"/>
      <c r="DK114" s="959"/>
      <c r="DL114" s="960" t="s">
        <v>410</v>
      </c>
      <c r="DM114" s="958"/>
      <c r="DN114" s="958"/>
      <c r="DO114" s="958"/>
      <c r="DP114" s="959"/>
      <c r="DQ114" s="960" t="s">
        <v>410</v>
      </c>
      <c r="DR114" s="958"/>
      <c r="DS114" s="958"/>
      <c r="DT114" s="958"/>
      <c r="DU114" s="959"/>
      <c r="DV114" s="961" t="s">
        <v>410</v>
      </c>
      <c r="DW114" s="962"/>
      <c r="DX114" s="962"/>
      <c r="DY114" s="962"/>
      <c r="DZ114" s="963"/>
    </row>
    <row r="115" spans="1:130" s="197" customFormat="1" ht="26.25" customHeight="1">
      <c r="A115" s="953"/>
      <c r="B115" s="954"/>
      <c r="C115" s="949" t="s">
        <v>423</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273998</v>
      </c>
      <c r="AB115" s="933"/>
      <c r="AC115" s="933"/>
      <c r="AD115" s="933"/>
      <c r="AE115" s="934"/>
      <c r="AF115" s="935">
        <v>98202</v>
      </c>
      <c r="AG115" s="933"/>
      <c r="AH115" s="933"/>
      <c r="AI115" s="933"/>
      <c r="AJ115" s="934"/>
      <c r="AK115" s="935">
        <v>57305</v>
      </c>
      <c r="AL115" s="933"/>
      <c r="AM115" s="933"/>
      <c r="AN115" s="933"/>
      <c r="AO115" s="934"/>
      <c r="AP115" s="936">
        <v>0.2</v>
      </c>
      <c r="AQ115" s="937"/>
      <c r="AR115" s="937"/>
      <c r="AS115" s="937"/>
      <c r="AT115" s="938"/>
      <c r="AU115" s="898"/>
      <c r="AV115" s="899"/>
      <c r="AW115" s="899"/>
      <c r="AX115" s="899"/>
      <c r="AY115" s="900"/>
      <c r="AZ115" s="948" t="s">
        <v>424</v>
      </c>
      <c r="BA115" s="949"/>
      <c r="BB115" s="949"/>
      <c r="BC115" s="949"/>
      <c r="BD115" s="949"/>
      <c r="BE115" s="949"/>
      <c r="BF115" s="949"/>
      <c r="BG115" s="949"/>
      <c r="BH115" s="949"/>
      <c r="BI115" s="949"/>
      <c r="BJ115" s="949"/>
      <c r="BK115" s="949"/>
      <c r="BL115" s="949"/>
      <c r="BM115" s="949"/>
      <c r="BN115" s="949"/>
      <c r="BO115" s="949"/>
      <c r="BP115" s="950"/>
      <c r="BQ115" s="918">
        <v>612506</v>
      </c>
      <c r="BR115" s="919"/>
      <c r="BS115" s="919"/>
      <c r="BT115" s="919"/>
      <c r="BU115" s="919"/>
      <c r="BV115" s="919">
        <v>649576</v>
      </c>
      <c r="BW115" s="919"/>
      <c r="BX115" s="919"/>
      <c r="BY115" s="919"/>
      <c r="BZ115" s="919"/>
      <c r="CA115" s="919">
        <v>642005</v>
      </c>
      <c r="CB115" s="919"/>
      <c r="CC115" s="919"/>
      <c r="CD115" s="919"/>
      <c r="CE115" s="919"/>
      <c r="CF115" s="913">
        <v>2.2000000000000002</v>
      </c>
      <c r="CG115" s="914"/>
      <c r="CH115" s="914"/>
      <c r="CI115" s="914"/>
      <c r="CJ115" s="914"/>
      <c r="CK115" s="944"/>
      <c r="CL115" s="945"/>
      <c r="CM115" s="948" t="s">
        <v>425</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1496797</v>
      </c>
      <c r="DH115" s="958"/>
      <c r="DI115" s="958"/>
      <c r="DJ115" s="958"/>
      <c r="DK115" s="959"/>
      <c r="DL115" s="960">
        <v>1420828</v>
      </c>
      <c r="DM115" s="958"/>
      <c r="DN115" s="958"/>
      <c r="DO115" s="958"/>
      <c r="DP115" s="959"/>
      <c r="DQ115" s="960">
        <v>1522547</v>
      </c>
      <c r="DR115" s="958"/>
      <c r="DS115" s="958"/>
      <c r="DT115" s="958"/>
      <c r="DU115" s="959"/>
      <c r="DV115" s="961">
        <v>5.2</v>
      </c>
      <c r="DW115" s="962"/>
      <c r="DX115" s="962"/>
      <c r="DY115" s="962"/>
      <c r="DZ115" s="963"/>
    </row>
    <row r="116" spans="1:130" s="197" customFormat="1" ht="26.25" customHeight="1">
      <c r="A116" s="955"/>
      <c r="B116" s="956"/>
      <c r="C116" s="970" t="s">
        <v>426</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410</v>
      </c>
      <c r="AB116" s="958"/>
      <c r="AC116" s="958"/>
      <c r="AD116" s="958"/>
      <c r="AE116" s="959"/>
      <c r="AF116" s="960">
        <v>16</v>
      </c>
      <c r="AG116" s="958"/>
      <c r="AH116" s="958"/>
      <c r="AI116" s="958"/>
      <c r="AJ116" s="959"/>
      <c r="AK116" s="960" t="s">
        <v>410</v>
      </c>
      <c r="AL116" s="958"/>
      <c r="AM116" s="958"/>
      <c r="AN116" s="958"/>
      <c r="AO116" s="959"/>
      <c r="AP116" s="961" t="s">
        <v>410</v>
      </c>
      <c r="AQ116" s="962"/>
      <c r="AR116" s="962"/>
      <c r="AS116" s="962"/>
      <c r="AT116" s="963"/>
      <c r="AU116" s="898"/>
      <c r="AV116" s="899"/>
      <c r="AW116" s="899"/>
      <c r="AX116" s="899"/>
      <c r="AY116" s="900"/>
      <c r="AZ116" s="948" t="s">
        <v>427</v>
      </c>
      <c r="BA116" s="949"/>
      <c r="BB116" s="949"/>
      <c r="BC116" s="949"/>
      <c r="BD116" s="949"/>
      <c r="BE116" s="949"/>
      <c r="BF116" s="949"/>
      <c r="BG116" s="949"/>
      <c r="BH116" s="949"/>
      <c r="BI116" s="949"/>
      <c r="BJ116" s="949"/>
      <c r="BK116" s="949"/>
      <c r="BL116" s="949"/>
      <c r="BM116" s="949"/>
      <c r="BN116" s="949"/>
      <c r="BO116" s="949"/>
      <c r="BP116" s="950"/>
      <c r="BQ116" s="918" t="s">
        <v>410</v>
      </c>
      <c r="BR116" s="919"/>
      <c r="BS116" s="919"/>
      <c r="BT116" s="919"/>
      <c r="BU116" s="919"/>
      <c r="BV116" s="919" t="s">
        <v>410</v>
      </c>
      <c r="BW116" s="919"/>
      <c r="BX116" s="919"/>
      <c r="BY116" s="919"/>
      <c r="BZ116" s="919"/>
      <c r="CA116" s="919" t="s">
        <v>410</v>
      </c>
      <c r="CB116" s="919"/>
      <c r="CC116" s="919"/>
      <c r="CD116" s="919"/>
      <c r="CE116" s="919"/>
      <c r="CF116" s="913" t="s">
        <v>410</v>
      </c>
      <c r="CG116" s="914"/>
      <c r="CH116" s="914"/>
      <c r="CI116" s="914"/>
      <c r="CJ116" s="914"/>
      <c r="CK116" s="944"/>
      <c r="CL116" s="945"/>
      <c r="CM116" s="915" t="s">
        <v>428</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362580</v>
      </c>
      <c r="DH116" s="958"/>
      <c r="DI116" s="958"/>
      <c r="DJ116" s="958"/>
      <c r="DK116" s="959"/>
      <c r="DL116" s="960">
        <v>391241</v>
      </c>
      <c r="DM116" s="958"/>
      <c r="DN116" s="958"/>
      <c r="DO116" s="958"/>
      <c r="DP116" s="959"/>
      <c r="DQ116" s="960">
        <v>333936</v>
      </c>
      <c r="DR116" s="958"/>
      <c r="DS116" s="958"/>
      <c r="DT116" s="958"/>
      <c r="DU116" s="959"/>
      <c r="DV116" s="961">
        <v>1.1000000000000001</v>
      </c>
      <c r="DW116" s="962"/>
      <c r="DX116" s="962"/>
      <c r="DY116" s="962"/>
      <c r="DZ116" s="963"/>
    </row>
    <row r="117" spans="1:130" s="197" customFormat="1" ht="26.25" customHeight="1">
      <c r="A117" s="903" t="s">
        <v>168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429</v>
      </c>
      <c r="Z117" s="883"/>
      <c r="AA117" s="995">
        <v>7216970</v>
      </c>
      <c r="AB117" s="965"/>
      <c r="AC117" s="965"/>
      <c r="AD117" s="965"/>
      <c r="AE117" s="966"/>
      <c r="AF117" s="964">
        <v>7306891</v>
      </c>
      <c r="AG117" s="965"/>
      <c r="AH117" s="965"/>
      <c r="AI117" s="965"/>
      <c r="AJ117" s="966"/>
      <c r="AK117" s="964">
        <v>7485365</v>
      </c>
      <c r="AL117" s="965"/>
      <c r="AM117" s="965"/>
      <c r="AN117" s="965"/>
      <c r="AO117" s="966"/>
      <c r="AP117" s="967"/>
      <c r="AQ117" s="968"/>
      <c r="AR117" s="968"/>
      <c r="AS117" s="968"/>
      <c r="AT117" s="969"/>
      <c r="AU117" s="898"/>
      <c r="AV117" s="899"/>
      <c r="AW117" s="899"/>
      <c r="AX117" s="899"/>
      <c r="AY117" s="900"/>
      <c r="AZ117" s="994" t="s">
        <v>430</v>
      </c>
      <c r="BA117" s="970"/>
      <c r="BB117" s="970"/>
      <c r="BC117" s="970"/>
      <c r="BD117" s="970"/>
      <c r="BE117" s="970"/>
      <c r="BF117" s="970"/>
      <c r="BG117" s="970"/>
      <c r="BH117" s="970"/>
      <c r="BI117" s="970"/>
      <c r="BJ117" s="970"/>
      <c r="BK117" s="970"/>
      <c r="BL117" s="970"/>
      <c r="BM117" s="970"/>
      <c r="BN117" s="970"/>
      <c r="BO117" s="970"/>
      <c r="BP117" s="971"/>
      <c r="BQ117" s="984" t="s">
        <v>110</v>
      </c>
      <c r="BR117" s="985"/>
      <c r="BS117" s="985"/>
      <c r="BT117" s="985"/>
      <c r="BU117" s="985"/>
      <c r="BV117" s="985" t="s">
        <v>110</v>
      </c>
      <c r="BW117" s="985"/>
      <c r="BX117" s="985"/>
      <c r="BY117" s="985"/>
      <c r="BZ117" s="985"/>
      <c r="CA117" s="985" t="s">
        <v>110</v>
      </c>
      <c r="CB117" s="985"/>
      <c r="CC117" s="985"/>
      <c r="CD117" s="985"/>
      <c r="CE117" s="985"/>
      <c r="CF117" s="913" t="s">
        <v>110</v>
      </c>
      <c r="CG117" s="914"/>
      <c r="CH117" s="914"/>
      <c r="CI117" s="914"/>
      <c r="CJ117" s="914"/>
      <c r="CK117" s="944"/>
      <c r="CL117" s="945"/>
      <c r="CM117" s="915" t="s">
        <v>431</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110</v>
      </c>
      <c r="DH117" s="958"/>
      <c r="DI117" s="958"/>
      <c r="DJ117" s="958"/>
      <c r="DK117" s="959"/>
      <c r="DL117" s="960" t="s">
        <v>110</v>
      </c>
      <c r="DM117" s="958"/>
      <c r="DN117" s="958"/>
      <c r="DO117" s="958"/>
      <c r="DP117" s="959"/>
      <c r="DQ117" s="960" t="s">
        <v>110</v>
      </c>
      <c r="DR117" s="958"/>
      <c r="DS117" s="958"/>
      <c r="DT117" s="958"/>
      <c r="DU117" s="959"/>
      <c r="DV117" s="961" t="s">
        <v>110</v>
      </c>
      <c r="DW117" s="962"/>
      <c r="DX117" s="962"/>
      <c r="DY117" s="962"/>
      <c r="DZ117" s="963"/>
    </row>
    <row r="118" spans="1:130" s="197" customFormat="1" ht="26.25" customHeight="1">
      <c r="A118" s="903" t="s">
        <v>403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401</v>
      </c>
      <c r="AB118" s="882"/>
      <c r="AC118" s="882"/>
      <c r="AD118" s="882"/>
      <c r="AE118" s="883"/>
      <c r="AF118" s="881" t="s">
        <v>285</v>
      </c>
      <c r="AG118" s="882"/>
      <c r="AH118" s="882"/>
      <c r="AI118" s="882"/>
      <c r="AJ118" s="883"/>
      <c r="AK118" s="881" t="s">
        <v>284</v>
      </c>
      <c r="AL118" s="882"/>
      <c r="AM118" s="882"/>
      <c r="AN118" s="882"/>
      <c r="AO118" s="883"/>
      <c r="AP118" s="989" t="s">
        <v>402</v>
      </c>
      <c r="AQ118" s="990"/>
      <c r="AR118" s="990"/>
      <c r="AS118" s="990"/>
      <c r="AT118" s="991"/>
      <c r="AU118" s="901"/>
      <c r="AV118" s="902"/>
      <c r="AW118" s="902"/>
      <c r="AX118" s="902"/>
      <c r="AY118" s="902"/>
      <c r="AZ118" s="228" t="s">
        <v>168</v>
      </c>
      <c r="BA118" s="228"/>
      <c r="BB118" s="228"/>
      <c r="BC118" s="228"/>
      <c r="BD118" s="228"/>
      <c r="BE118" s="228"/>
      <c r="BF118" s="228"/>
      <c r="BG118" s="228"/>
      <c r="BH118" s="228"/>
      <c r="BI118" s="228"/>
      <c r="BJ118" s="228"/>
      <c r="BK118" s="228"/>
      <c r="BL118" s="228"/>
      <c r="BM118" s="228"/>
      <c r="BN118" s="228"/>
      <c r="BO118" s="992" t="s">
        <v>432</v>
      </c>
      <c r="BP118" s="993"/>
      <c r="BQ118" s="984">
        <v>78948895</v>
      </c>
      <c r="BR118" s="985"/>
      <c r="BS118" s="985"/>
      <c r="BT118" s="985"/>
      <c r="BU118" s="985"/>
      <c r="BV118" s="985">
        <v>79436400</v>
      </c>
      <c r="BW118" s="985"/>
      <c r="BX118" s="985"/>
      <c r="BY118" s="985"/>
      <c r="BZ118" s="985"/>
      <c r="CA118" s="985">
        <v>79824961</v>
      </c>
      <c r="CB118" s="985"/>
      <c r="CC118" s="985"/>
      <c r="CD118" s="985"/>
      <c r="CE118" s="985"/>
      <c r="CF118" s="986"/>
      <c r="CG118" s="987"/>
      <c r="CH118" s="987"/>
      <c r="CI118" s="987"/>
      <c r="CJ118" s="988"/>
      <c r="CK118" s="944"/>
      <c r="CL118" s="945"/>
      <c r="CM118" s="915" t="s">
        <v>433</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110</v>
      </c>
      <c r="DH118" s="958"/>
      <c r="DI118" s="958"/>
      <c r="DJ118" s="958"/>
      <c r="DK118" s="959"/>
      <c r="DL118" s="960" t="s">
        <v>110</v>
      </c>
      <c r="DM118" s="958"/>
      <c r="DN118" s="958"/>
      <c r="DO118" s="958"/>
      <c r="DP118" s="959"/>
      <c r="DQ118" s="960" t="s">
        <v>110</v>
      </c>
      <c r="DR118" s="958"/>
      <c r="DS118" s="958"/>
      <c r="DT118" s="958"/>
      <c r="DU118" s="959"/>
      <c r="DV118" s="961" t="s">
        <v>110</v>
      </c>
      <c r="DW118" s="962"/>
      <c r="DX118" s="962"/>
      <c r="DY118" s="962"/>
      <c r="DZ118" s="963"/>
    </row>
    <row r="119" spans="1:130" s="197" customFormat="1" ht="26.25" customHeight="1">
      <c r="A119" s="973" t="s">
        <v>406</v>
      </c>
      <c r="B119" s="943"/>
      <c r="C119" s="922" t="s">
        <v>407</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110</v>
      </c>
      <c r="AB119" s="889"/>
      <c r="AC119" s="889"/>
      <c r="AD119" s="889"/>
      <c r="AE119" s="890"/>
      <c r="AF119" s="891" t="s">
        <v>110</v>
      </c>
      <c r="AG119" s="889"/>
      <c r="AH119" s="889"/>
      <c r="AI119" s="889"/>
      <c r="AJ119" s="890"/>
      <c r="AK119" s="891" t="s">
        <v>110</v>
      </c>
      <c r="AL119" s="889"/>
      <c r="AM119" s="889"/>
      <c r="AN119" s="889"/>
      <c r="AO119" s="890"/>
      <c r="AP119" s="892" t="s">
        <v>110</v>
      </c>
      <c r="AQ119" s="893"/>
      <c r="AR119" s="893"/>
      <c r="AS119" s="893"/>
      <c r="AT119" s="894"/>
      <c r="AU119" s="976" t="s">
        <v>434</v>
      </c>
      <c r="AV119" s="977"/>
      <c r="AW119" s="977"/>
      <c r="AX119" s="977"/>
      <c r="AY119" s="978"/>
      <c r="AZ119" s="939" t="s">
        <v>435</v>
      </c>
      <c r="BA119" s="886"/>
      <c r="BB119" s="886"/>
      <c r="BC119" s="886"/>
      <c r="BD119" s="886"/>
      <c r="BE119" s="886"/>
      <c r="BF119" s="886"/>
      <c r="BG119" s="886"/>
      <c r="BH119" s="886"/>
      <c r="BI119" s="886"/>
      <c r="BJ119" s="886"/>
      <c r="BK119" s="886"/>
      <c r="BL119" s="886"/>
      <c r="BM119" s="886"/>
      <c r="BN119" s="886"/>
      <c r="BO119" s="886"/>
      <c r="BP119" s="887"/>
      <c r="BQ119" s="925">
        <v>9425367</v>
      </c>
      <c r="BR119" s="926"/>
      <c r="BS119" s="926"/>
      <c r="BT119" s="926"/>
      <c r="BU119" s="926"/>
      <c r="BV119" s="926">
        <v>10056845</v>
      </c>
      <c r="BW119" s="926"/>
      <c r="BX119" s="926"/>
      <c r="BY119" s="926"/>
      <c r="BZ119" s="926"/>
      <c r="CA119" s="926">
        <v>10549274</v>
      </c>
      <c r="CB119" s="926"/>
      <c r="CC119" s="926"/>
      <c r="CD119" s="926"/>
      <c r="CE119" s="926"/>
      <c r="CF119" s="940">
        <v>36.299999999999997</v>
      </c>
      <c r="CG119" s="941"/>
      <c r="CH119" s="941"/>
      <c r="CI119" s="941"/>
      <c r="CJ119" s="941"/>
      <c r="CK119" s="946"/>
      <c r="CL119" s="947"/>
      <c r="CM119" s="1003" t="s">
        <v>436</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110</v>
      </c>
      <c r="DH119" s="997"/>
      <c r="DI119" s="997"/>
      <c r="DJ119" s="997"/>
      <c r="DK119" s="998"/>
      <c r="DL119" s="999" t="s">
        <v>110</v>
      </c>
      <c r="DM119" s="997"/>
      <c r="DN119" s="997"/>
      <c r="DO119" s="997"/>
      <c r="DP119" s="998"/>
      <c r="DQ119" s="999" t="s">
        <v>110</v>
      </c>
      <c r="DR119" s="997"/>
      <c r="DS119" s="997"/>
      <c r="DT119" s="997"/>
      <c r="DU119" s="998"/>
      <c r="DV119" s="1000" t="s">
        <v>110</v>
      </c>
      <c r="DW119" s="1001"/>
      <c r="DX119" s="1001"/>
      <c r="DY119" s="1001"/>
      <c r="DZ119" s="1002"/>
    </row>
    <row r="120" spans="1:130" s="197" customFormat="1" ht="26.25" customHeight="1">
      <c r="A120" s="974"/>
      <c r="B120" s="945"/>
      <c r="C120" s="915" t="s">
        <v>412</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110</v>
      </c>
      <c r="AB120" s="958"/>
      <c r="AC120" s="958"/>
      <c r="AD120" s="958"/>
      <c r="AE120" s="959"/>
      <c r="AF120" s="960" t="s">
        <v>110</v>
      </c>
      <c r="AG120" s="958"/>
      <c r="AH120" s="958"/>
      <c r="AI120" s="958"/>
      <c r="AJ120" s="959"/>
      <c r="AK120" s="960" t="s">
        <v>110</v>
      </c>
      <c r="AL120" s="958"/>
      <c r="AM120" s="958"/>
      <c r="AN120" s="958"/>
      <c r="AO120" s="959"/>
      <c r="AP120" s="961" t="s">
        <v>110</v>
      </c>
      <c r="AQ120" s="962"/>
      <c r="AR120" s="962"/>
      <c r="AS120" s="962"/>
      <c r="AT120" s="963"/>
      <c r="AU120" s="979"/>
      <c r="AV120" s="980"/>
      <c r="AW120" s="980"/>
      <c r="AX120" s="980"/>
      <c r="AY120" s="981"/>
      <c r="AZ120" s="948" t="s">
        <v>437</v>
      </c>
      <c r="BA120" s="949"/>
      <c r="BB120" s="949"/>
      <c r="BC120" s="949"/>
      <c r="BD120" s="949"/>
      <c r="BE120" s="949"/>
      <c r="BF120" s="949"/>
      <c r="BG120" s="949"/>
      <c r="BH120" s="949"/>
      <c r="BI120" s="949"/>
      <c r="BJ120" s="949"/>
      <c r="BK120" s="949"/>
      <c r="BL120" s="949"/>
      <c r="BM120" s="949"/>
      <c r="BN120" s="949"/>
      <c r="BO120" s="949"/>
      <c r="BP120" s="950"/>
      <c r="BQ120" s="918">
        <v>15921050</v>
      </c>
      <c r="BR120" s="919"/>
      <c r="BS120" s="919"/>
      <c r="BT120" s="919"/>
      <c r="BU120" s="919"/>
      <c r="BV120" s="919">
        <v>15054670</v>
      </c>
      <c r="BW120" s="919"/>
      <c r="BX120" s="919"/>
      <c r="BY120" s="919"/>
      <c r="BZ120" s="919"/>
      <c r="CA120" s="919">
        <v>15275133</v>
      </c>
      <c r="CB120" s="919"/>
      <c r="CC120" s="919"/>
      <c r="CD120" s="919"/>
      <c r="CE120" s="919"/>
      <c r="CF120" s="913">
        <v>52.6</v>
      </c>
      <c r="CG120" s="914"/>
      <c r="CH120" s="914"/>
      <c r="CI120" s="914"/>
      <c r="CJ120" s="914"/>
      <c r="CK120" s="1012" t="s">
        <v>438</v>
      </c>
      <c r="CL120" s="1013"/>
      <c r="CM120" s="1013"/>
      <c r="CN120" s="1013"/>
      <c r="CO120" s="1014"/>
      <c r="CP120" s="1020" t="s">
        <v>386</v>
      </c>
      <c r="CQ120" s="1021"/>
      <c r="CR120" s="1021"/>
      <c r="CS120" s="1021"/>
      <c r="CT120" s="1021"/>
      <c r="CU120" s="1021"/>
      <c r="CV120" s="1021"/>
      <c r="CW120" s="1021"/>
      <c r="CX120" s="1021"/>
      <c r="CY120" s="1021"/>
      <c r="CZ120" s="1021"/>
      <c r="DA120" s="1021"/>
      <c r="DB120" s="1021"/>
      <c r="DC120" s="1021"/>
      <c r="DD120" s="1021"/>
      <c r="DE120" s="1021"/>
      <c r="DF120" s="1022"/>
      <c r="DG120" s="925">
        <v>21178319</v>
      </c>
      <c r="DH120" s="926"/>
      <c r="DI120" s="926"/>
      <c r="DJ120" s="926"/>
      <c r="DK120" s="926"/>
      <c r="DL120" s="926">
        <v>20211300</v>
      </c>
      <c r="DM120" s="926"/>
      <c r="DN120" s="926"/>
      <c r="DO120" s="926"/>
      <c r="DP120" s="926"/>
      <c r="DQ120" s="926">
        <v>20154259</v>
      </c>
      <c r="DR120" s="926"/>
      <c r="DS120" s="926"/>
      <c r="DT120" s="926"/>
      <c r="DU120" s="926"/>
      <c r="DV120" s="927">
        <v>69.400000000000006</v>
      </c>
      <c r="DW120" s="927"/>
      <c r="DX120" s="927"/>
      <c r="DY120" s="927"/>
      <c r="DZ120" s="928"/>
    </row>
    <row r="121" spans="1:130" s="197" customFormat="1" ht="26.25" customHeight="1">
      <c r="A121" s="974"/>
      <c r="B121" s="945"/>
      <c r="C121" s="1009" t="s">
        <v>439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110</v>
      </c>
      <c r="AB121" s="958"/>
      <c r="AC121" s="958"/>
      <c r="AD121" s="958"/>
      <c r="AE121" s="959"/>
      <c r="AF121" s="960" t="s">
        <v>110</v>
      </c>
      <c r="AG121" s="958"/>
      <c r="AH121" s="958"/>
      <c r="AI121" s="958"/>
      <c r="AJ121" s="959"/>
      <c r="AK121" s="960" t="s">
        <v>110</v>
      </c>
      <c r="AL121" s="958"/>
      <c r="AM121" s="958"/>
      <c r="AN121" s="958"/>
      <c r="AO121" s="959"/>
      <c r="AP121" s="961" t="s">
        <v>110</v>
      </c>
      <c r="AQ121" s="962"/>
      <c r="AR121" s="962"/>
      <c r="AS121" s="962"/>
      <c r="AT121" s="963"/>
      <c r="AU121" s="979"/>
      <c r="AV121" s="980"/>
      <c r="AW121" s="980"/>
      <c r="AX121" s="980"/>
      <c r="AY121" s="981"/>
      <c r="AZ121" s="994" t="s">
        <v>440</v>
      </c>
      <c r="BA121" s="970"/>
      <c r="BB121" s="970"/>
      <c r="BC121" s="970"/>
      <c r="BD121" s="970"/>
      <c r="BE121" s="970"/>
      <c r="BF121" s="970"/>
      <c r="BG121" s="970"/>
      <c r="BH121" s="970"/>
      <c r="BI121" s="970"/>
      <c r="BJ121" s="970"/>
      <c r="BK121" s="970"/>
      <c r="BL121" s="970"/>
      <c r="BM121" s="970"/>
      <c r="BN121" s="970"/>
      <c r="BO121" s="970"/>
      <c r="BP121" s="971"/>
      <c r="BQ121" s="984">
        <v>58777801</v>
      </c>
      <c r="BR121" s="985"/>
      <c r="BS121" s="985"/>
      <c r="BT121" s="985"/>
      <c r="BU121" s="985"/>
      <c r="BV121" s="985">
        <v>61356127</v>
      </c>
      <c r="BW121" s="985"/>
      <c r="BX121" s="985"/>
      <c r="BY121" s="985"/>
      <c r="BZ121" s="985"/>
      <c r="CA121" s="985">
        <v>63755763</v>
      </c>
      <c r="CB121" s="985"/>
      <c r="CC121" s="985"/>
      <c r="CD121" s="985"/>
      <c r="CE121" s="985"/>
      <c r="CF121" s="1023">
        <v>219.4</v>
      </c>
      <c r="CG121" s="1024"/>
      <c r="CH121" s="1024"/>
      <c r="CI121" s="1024"/>
      <c r="CJ121" s="1024"/>
      <c r="CK121" s="1015"/>
      <c r="CL121" s="1016"/>
      <c r="CM121" s="1016"/>
      <c r="CN121" s="1016"/>
      <c r="CO121" s="1017"/>
      <c r="CP121" s="1006" t="s">
        <v>384</v>
      </c>
      <c r="CQ121" s="1007"/>
      <c r="CR121" s="1007"/>
      <c r="CS121" s="1007"/>
      <c r="CT121" s="1007"/>
      <c r="CU121" s="1007"/>
      <c r="CV121" s="1007"/>
      <c r="CW121" s="1007"/>
      <c r="CX121" s="1007"/>
      <c r="CY121" s="1007"/>
      <c r="CZ121" s="1007"/>
      <c r="DA121" s="1007"/>
      <c r="DB121" s="1007"/>
      <c r="DC121" s="1007"/>
      <c r="DD121" s="1007"/>
      <c r="DE121" s="1007"/>
      <c r="DF121" s="1008"/>
      <c r="DG121" s="918">
        <v>625000</v>
      </c>
      <c r="DH121" s="919"/>
      <c r="DI121" s="919"/>
      <c r="DJ121" s="919"/>
      <c r="DK121" s="919"/>
      <c r="DL121" s="919">
        <v>936074</v>
      </c>
      <c r="DM121" s="919"/>
      <c r="DN121" s="919"/>
      <c r="DO121" s="919"/>
      <c r="DP121" s="919"/>
      <c r="DQ121" s="919">
        <v>917208</v>
      </c>
      <c r="DR121" s="919"/>
      <c r="DS121" s="919"/>
      <c r="DT121" s="919"/>
      <c r="DU121" s="919"/>
      <c r="DV121" s="920">
        <v>3.2</v>
      </c>
      <c r="DW121" s="920"/>
      <c r="DX121" s="920"/>
      <c r="DY121" s="920"/>
      <c r="DZ121" s="921"/>
    </row>
    <row r="122" spans="1:130" s="197" customFormat="1" ht="26.25" customHeight="1">
      <c r="A122" s="974"/>
      <c r="B122" s="945"/>
      <c r="C122" s="915" t="s">
        <v>422</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110</v>
      </c>
      <c r="AB122" s="958"/>
      <c r="AC122" s="958"/>
      <c r="AD122" s="958"/>
      <c r="AE122" s="959"/>
      <c r="AF122" s="960" t="s">
        <v>110</v>
      </c>
      <c r="AG122" s="958"/>
      <c r="AH122" s="958"/>
      <c r="AI122" s="958"/>
      <c r="AJ122" s="959"/>
      <c r="AK122" s="960" t="s">
        <v>110</v>
      </c>
      <c r="AL122" s="958"/>
      <c r="AM122" s="958"/>
      <c r="AN122" s="958"/>
      <c r="AO122" s="959"/>
      <c r="AP122" s="961" t="s">
        <v>110</v>
      </c>
      <c r="AQ122" s="962"/>
      <c r="AR122" s="962"/>
      <c r="AS122" s="962"/>
      <c r="AT122" s="963"/>
      <c r="AU122" s="982"/>
      <c r="AV122" s="983"/>
      <c r="AW122" s="983"/>
      <c r="AX122" s="983"/>
      <c r="AY122" s="983"/>
      <c r="AZ122" s="228" t="s">
        <v>168</v>
      </c>
      <c r="BA122" s="228"/>
      <c r="BB122" s="228"/>
      <c r="BC122" s="228"/>
      <c r="BD122" s="228"/>
      <c r="BE122" s="228"/>
      <c r="BF122" s="228"/>
      <c r="BG122" s="228"/>
      <c r="BH122" s="228"/>
      <c r="BI122" s="228"/>
      <c r="BJ122" s="228"/>
      <c r="BK122" s="228"/>
      <c r="BL122" s="228"/>
      <c r="BM122" s="228"/>
      <c r="BN122" s="228"/>
      <c r="BO122" s="992" t="s">
        <v>441</v>
      </c>
      <c r="BP122" s="993"/>
      <c r="BQ122" s="1033">
        <v>84124218</v>
      </c>
      <c r="BR122" s="1034"/>
      <c r="BS122" s="1034"/>
      <c r="BT122" s="1034"/>
      <c r="BU122" s="1034"/>
      <c r="BV122" s="1034">
        <v>86467642</v>
      </c>
      <c r="BW122" s="1034"/>
      <c r="BX122" s="1034"/>
      <c r="BY122" s="1034"/>
      <c r="BZ122" s="1034"/>
      <c r="CA122" s="1034">
        <v>89580170</v>
      </c>
      <c r="CB122" s="1034"/>
      <c r="CC122" s="1034"/>
      <c r="CD122" s="1034"/>
      <c r="CE122" s="1034"/>
      <c r="CF122" s="986"/>
      <c r="CG122" s="987"/>
      <c r="CH122" s="987"/>
      <c r="CI122" s="987"/>
      <c r="CJ122" s="988"/>
      <c r="CK122" s="1015"/>
      <c r="CL122" s="1016"/>
      <c r="CM122" s="1016"/>
      <c r="CN122" s="1016"/>
      <c r="CO122" s="1017"/>
      <c r="CP122" s="1006" t="s">
        <v>382</v>
      </c>
      <c r="CQ122" s="1007"/>
      <c r="CR122" s="1007"/>
      <c r="CS122" s="1007"/>
      <c r="CT122" s="1007"/>
      <c r="CU122" s="1007"/>
      <c r="CV122" s="1007"/>
      <c r="CW122" s="1007"/>
      <c r="CX122" s="1007"/>
      <c r="CY122" s="1007"/>
      <c r="CZ122" s="1007"/>
      <c r="DA122" s="1007"/>
      <c r="DB122" s="1007"/>
      <c r="DC122" s="1007"/>
      <c r="DD122" s="1007"/>
      <c r="DE122" s="1007"/>
      <c r="DF122" s="1008"/>
      <c r="DG122" s="918">
        <v>114944</v>
      </c>
      <c r="DH122" s="919"/>
      <c r="DI122" s="919"/>
      <c r="DJ122" s="919"/>
      <c r="DK122" s="919"/>
      <c r="DL122" s="919">
        <v>110810</v>
      </c>
      <c r="DM122" s="919"/>
      <c r="DN122" s="919"/>
      <c r="DO122" s="919"/>
      <c r="DP122" s="919"/>
      <c r="DQ122" s="919">
        <v>102604</v>
      </c>
      <c r="DR122" s="919"/>
      <c r="DS122" s="919"/>
      <c r="DT122" s="919"/>
      <c r="DU122" s="919"/>
      <c r="DV122" s="920">
        <v>0.4</v>
      </c>
      <c r="DW122" s="920"/>
      <c r="DX122" s="920"/>
      <c r="DY122" s="920"/>
      <c r="DZ122" s="921"/>
    </row>
    <row r="123" spans="1:130" s="197" customFormat="1" ht="26.25" customHeight="1" thickBot="1">
      <c r="A123" s="974"/>
      <c r="B123" s="945"/>
      <c r="C123" s="915" t="s">
        <v>428</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70655</v>
      </c>
      <c r="AB123" s="958"/>
      <c r="AC123" s="958"/>
      <c r="AD123" s="958"/>
      <c r="AE123" s="959"/>
      <c r="AF123" s="960">
        <v>57305</v>
      </c>
      <c r="AG123" s="958"/>
      <c r="AH123" s="958"/>
      <c r="AI123" s="958"/>
      <c r="AJ123" s="959"/>
      <c r="AK123" s="960">
        <v>57305</v>
      </c>
      <c r="AL123" s="958"/>
      <c r="AM123" s="958"/>
      <c r="AN123" s="958"/>
      <c r="AO123" s="959"/>
      <c r="AP123" s="961">
        <v>0.2</v>
      </c>
      <c r="AQ123" s="962"/>
      <c r="AR123" s="962"/>
      <c r="AS123" s="962"/>
      <c r="AT123" s="963"/>
      <c r="AU123" s="1030" t="s">
        <v>442</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110</v>
      </c>
      <c r="BR123" s="1026"/>
      <c r="BS123" s="1026"/>
      <c r="BT123" s="1026"/>
      <c r="BU123" s="1026"/>
      <c r="BV123" s="1026" t="s">
        <v>110</v>
      </c>
      <c r="BW123" s="1026"/>
      <c r="BX123" s="1026"/>
      <c r="BY123" s="1026"/>
      <c r="BZ123" s="1026"/>
      <c r="CA123" s="1026" t="s">
        <v>110</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431</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110</v>
      </c>
      <c r="AB124" s="958"/>
      <c r="AC124" s="958"/>
      <c r="AD124" s="958"/>
      <c r="AE124" s="959"/>
      <c r="AF124" s="960" t="s">
        <v>110</v>
      </c>
      <c r="AG124" s="958"/>
      <c r="AH124" s="958"/>
      <c r="AI124" s="958"/>
      <c r="AJ124" s="959"/>
      <c r="AK124" s="960" t="s">
        <v>110</v>
      </c>
      <c r="AL124" s="958"/>
      <c r="AM124" s="958"/>
      <c r="AN124" s="958"/>
      <c r="AO124" s="959"/>
      <c r="AP124" s="961" t="s">
        <v>110</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443</v>
      </c>
      <c r="CQ124" s="1007"/>
      <c r="CR124" s="1007"/>
      <c r="CS124" s="1007"/>
      <c r="CT124" s="1007"/>
      <c r="CU124" s="1007"/>
      <c r="CV124" s="1007"/>
      <c r="CW124" s="1007"/>
      <c r="CX124" s="1007"/>
      <c r="CY124" s="1007"/>
      <c r="CZ124" s="1007"/>
      <c r="DA124" s="1007"/>
      <c r="DB124" s="1007"/>
      <c r="DC124" s="1007"/>
      <c r="DD124" s="1007"/>
      <c r="DE124" s="1007"/>
      <c r="DF124" s="1008"/>
      <c r="DG124" s="996" t="s">
        <v>110</v>
      </c>
      <c r="DH124" s="997"/>
      <c r="DI124" s="997"/>
      <c r="DJ124" s="997"/>
      <c r="DK124" s="998"/>
      <c r="DL124" s="999" t="s">
        <v>110</v>
      </c>
      <c r="DM124" s="997"/>
      <c r="DN124" s="997"/>
      <c r="DO124" s="997"/>
      <c r="DP124" s="998"/>
      <c r="DQ124" s="999" t="s">
        <v>110</v>
      </c>
      <c r="DR124" s="997"/>
      <c r="DS124" s="997"/>
      <c r="DT124" s="997"/>
      <c r="DU124" s="998"/>
      <c r="DV124" s="1000" t="s">
        <v>110</v>
      </c>
      <c r="DW124" s="1001"/>
      <c r="DX124" s="1001"/>
      <c r="DY124" s="1001"/>
      <c r="DZ124" s="1002"/>
    </row>
    <row r="125" spans="1:130" s="197" customFormat="1" ht="26.25" customHeight="1" thickBot="1">
      <c r="A125" s="974"/>
      <c r="B125" s="945"/>
      <c r="C125" s="915" t="s">
        <v>433</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110</v>
      </c>
      <c r="AB125" s="958"/>
      <c r="AC125" s="958"/>
      <c r="AD125" s="958"/>
      <c r="AE125" s="959"/>
      <c r="AF125" s="960" t="s">
        <v>110</v>
      </c>
      <c r="AG125" s="958"/>
      <c r="AH125" s="958"/>
      <c r="AI125" s="958"/>
      <c r="AJ125" s="959"/>
      <c r="AK125" s="960" t="s">
        <v>110</v>
      </c>
      <c r="AL125" s="958"/>
      <c r="AM125" s="958"/>
      <c r="AN125" s="958"/>
      <c r="AO125" s="959"/>
      <c r="AP125" s="961" t="s">
        <v>110</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444</v>
      </c>
      <c r="CL125" s="1013"/>
      <c r="CM125" s="1013"/>
      <c r="CN125" s="1013"/>
      <c r="CO125" s="1014"/>
      <c r="CP125" s="939" t="s">
        <v>445</v>
      </c>
      <c r="CQ125" s="886"/>
      <c r="CR125" s="886"/>
      <c r="CS125" s="886"/>
      <c r="CT125" s="886"/>
      <c r="CU125" s="886"/>
      <c r="CV125" s="886"/>
      <c r="CW125" s="886"/>
      <c r="CX125" s="886"/>
      <c r="CY125" s="886"/>
      <c r="CZ125" s="886"/>
      <c r="DA125" s="886"/>
      <c r="DB125" s="886"/>
      <c r="DC125" s="886"/>
      <c r="DD125" s="886"/>
      <c r="DE125" s="886"/>
      <c r="DF125" s="887"/>
      <c r="DG125" s="925" t="s">
        <v>110</v>
      </c>
      <c r="DH125" s="926"/>
      <c r="DI125" s="926"/>
      <c r="DJ125" s="926"/>
      <c r="DK125" s="926"/>
      <c r="DL125" s="926" t="s">
        <v>110</v>
      </c>
      <c r="DM125" s="926"/>
      <c r="DN125" s="926"/>
      <c r="DO125" s="926"/>
      <c r="DP125" s="926"/>
      <c r="DQ125" s="926" t="s">
        <v>110</v>
      </c>
      <c r="DR125" s="926"/>
      <c r="DS125" s="926"/>
      <c r="DT125" s="926"/>
      <c r="DU125" s="926"/>
      <c r="DV125" s="927" t="s">
        <v>110</v>
      </c>
      <c r="DW125" s="927"/>
      <c r="DX125" s="927"/>
      <c r="DY125" s="927"/>
      <c r="DZ125" s="928"/>
    </row>
    <row r="126" spans="1:130" s="197" customFormat="1" ht="26.25" customHeight="1">
      <c r="A126" s="974"/>
      <c r="B126" s="945"/>
      <c r="C126" s="915" t="s">
        <v>436</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203343</v>
      </c>
      <c r="AB126" s="958"/>
      <c r="AC126" s="958"/>
      <c r="AD126" s="958"/>
      <c r="AE126" s="959"/>
      <c r="AF126" s="960">
        <v>40897</v>
      </c>
      <c r="AG126" s="958"/>
      <c r="AH126" s="958"/>
      <c r="AI126" s="958"/>
      <c r="AJ126" s="959"/>
      <c r="AK126" s="960" t="s">
        <v>110</v>
      </c>
      <c r="AL126" s="958"/>
      <c r="AM126" s="958"/>
      <c r="AN126" s="958"/>
      <c r="AO126" s="959"/>
      <c r="AP126" s="961" t="s">
        <v>110</v>
      </c>
      <c r="AQ126" s="962"/>
      <c r="AR126" s="962"/>
      <c r="AS126" s="962"/>
      <c r="AT126" s="963"/>
      <c r="AU126" s="233"/>
      <c r="AV126" s="233"/>
      <c r="AW126" s="233"/>
      <c r="AX126" s="1035" t="s">
        <v>446</v>
      </c>
      <c r="AY126" s="1036"/>
      <c r="AZ126" s="1036"/>
      <c r="BA126" s="1036"/>
      <c r="BB126" s="1036"/>
      <c r="BC126" s="1036"/>
      <c r="BD126" s="1036"/>
      <c r="BE126" s="1037"/>
      <c r="BF126" s="1051" t="s">
        <v>447</v>
      </c>
      <c r="BG126" s="1036"/>
      <c r="BH126" s="1036"/>
      <c r="BI126" s="1036"/>
      <c r="BJ126" s="1036"/>
      <c r="BK126" s="1036"/>
      <c r="BL126" s="1037"/>
      <c r="BM126" s="1051" t="s">
        <v>448</v>
      </c>
      <c r="BN126" s="1036"/>
      <c r="BO126" s="1036"/>
      <c r="BP126" s="1036"/>
      <c r="BQ126" s="1036"/>
      <c r="BR126" s="1036"/>
      <c r="BS126" s="1037"/>
      <c r="BT126" s="1051" t="s">
        <v>449</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450</v>
      </c>
      <c r="CQ126" s="949"/>
      <c r="CR126" s="949"/>
      <c r="CS126" s="949"/>
      <c r="CT126" s="949"/>
      <c r="CU126" s="949"/>
      <c r="CV126" s="949"/>
      <c r="CW126" s="949"/>
      <c r="CX126" s="949"/>
      <c r="CY126" s="949"/>
      <c r="CZ126" s="949"/>
      <c r="DA126" s="949"/>
      <c r="DB126" s="949"/>
      <c r="DC126" s="949"/>
      <c r="DD126" s="949"/>
      <c r="DE126" s="949"/>
      <c r="DF126" s="950"/>
      <c r="DG126" s="918">
        <v>558669</v>
      </c>
      <c r="DH126" s="919"/>
      <c r="DI126" s="919"/>
      <c r="DJ126" s="919"/>
      <c r="DK126" s="919"/>
      <c r="DL126" s="919">
        <v>618613</v>
      </c>
      <c r="DM126" s="919"/>
      <c r="DN126" s="919"/>
      <c r="DO126" s="919"/>
      <c r="DP126" s="919"/>
      <c r="DQ126" s="919">
        <v>630195</v>
      </c>
      <c r="DR126" s="919"/>
      <c r="DS126" s="919"/>
      <c r="DT126" s="919"/>
      <c r="DU126" s="919"/>
      <c r="DV126" s="920">
        <v>2.2000000000000002</v>
      </c>
      <c r="DW126" s="920"/>
      <c r="DX126" s="920"/>
      <c r="DY126" s="920"/>
      <c r="DZ126" s="921"/>
    </row>
    <row r="127" spans="1:130" s="197" customFormat="1" ht="26.25" customHeight="1" thickBot="1">
      <c r="A127" s="975"/>
      <c r="B127" s="947"/>
      <c r="C127" s="1003" t="s">
        <v>451</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110</v>
      </c>
      <c r="AB127" s="958"/>
      <c r="AC127" s="958"/>
      <c r="AD127" s="958"/>
      <c r="AE127" s="959"/>
      <c r="AF127" s="960" t="s">
        <v>110</v>
      </c>
      <c r="AG127" s="958"/>
      <c r="AH127" s="958"/>
      <c r="AI127" s="958"/>
      <c r="AJ127" s="959"/>
      <c r="AK127" s="960" t="s">
        <v>110</v>
      </c>
      <c r="AL127" s="958"/>
      <c r="AM127" s="958"/>
      <c r="AN127" s="958"/>
      <c r="AO127" s="959"/>
      <c r="AP127" s="961" t="s">
        <v>110</v>
      </c>
      <c r="AQ127" s="962"/>
      <c r="AR127" s="962"/>
      <c r="AS127" s="962"/>
      <c r="AT127" s="963"/>
      <c r="AU127" s="233"/>
      <c r="AV127" s="233"/>
      <c r="AW127" s="233"/>
      <c r="AX127" s="885" t="s">
        <v>452</v>
      </c>
      <c r="AY127" s="886"/>
      <c r="AZ127" s="886"/>
      <c r="BA127" s="886"/>
      <c r="BB127" s="886"/>
      <c r="BC127" s="886"/>
      <c r="BD127" s="886"/>
      <c r="BE127" s="887"/>
      <c r="BF127" s="1040" t="s">
        <v>110</v>
      </c>
      <c r="BG127" s="1041"/>
      <c r="BH127" s="1041"/>
      <c r="BI127" s="1041"/>
      <c r="BJ127" s="1041"/>
      <c r="BK127" s="1041"/>
      <c r="BL127" s="1050"/>
      <c r="BM127" s="1040">
        <v>11.63</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453</v>
      </c>
      <c r="CQ127" s="1044"/>
      <c r="CR127" s="1044"/>
      <c r="CS127" s="1044"/>
      <c r="CT127" s="1044"/>
      <c r="CU127" s="1044"/>
      <c r="CV127" s="1044"/>
      <c r="CW127" s="1044"/>
      <c r="CX127" s="1044"/>
      <c r="CY127" s="1044"/>
      <c r="CZ127" s="1044"/>
      <c r="DA127" s="1044"/>
      <c r="DB127" s="1044"/>
      <c r="DC127" s="1044"/>
      <c r="DD127" s="1044"/>
      <c r="DE127" s="1044"/>
      <c r="DF127" s="1045"/>
      <c r="DG127" s="1046">
        <v>53837</v>
      </c>
      <c r="DH127" s="1047"/>
      <c r="DI127" s="1047"/>
      <c r="DJ127" s="1047"/>
      <c r="DK127" s="1047"/>
      <c r="DL127" s="1047">
        <v>30963</v>
      </c>
      <c r="DM127" s="1047"/>
      <c r="DN127" s="1047"/>
      <c r="DO127" s="1047"/>
      <c r="DP127" s="1047"/>
      <c r="DQ127" s="1047">
        <v>11810</v>
      </c>
      <c r="DR127" s="1047"/>
      <c r="DS127" s="1047"/>
      <c r="DT127" s="1047"/>
      <c r="DU127" s="1047"/>
      <c r="DV127" s="1048">
        <v>0</v>
      </c>
      <c r="DW127" s="1048"/>
      <c r="DX127" s="1048"/>
      <c r="DY127" s="1048"/>
      <c r="DZ127" s="1049"/>
    </row>
    <row r="128" spans="1:130" s="197" customFormat="1" ht="26.25" customHeight="1">
      <c r="A128" s="1070" t="s">
        <v>454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455</v>
      </c>
      <c r="X128" s="1072"/>
      <c r="Y128" s="1072"/>
      <c r="Z128" s="1073"/>
      <c r="AA128" s="1088">
        <v>1430752</v>
      </c>
      <c r="AB128" s="1089"/>
      <c r="AC128" s="1089"/>
      <c r="AD128" s="1089"/>
      <c r="AE128" s="1090"/>
      <c r="AF128" s="1091">
        <v>1633791</v>
      </c>
      <c r="AG128" s="1089"/>
      <c r="AH128" s="1089"/>
      <c r="AI128" s="1089"/>
      <c r="AJ128" s="1090"/>
      <c r="AK128" s="1091">
        <v>1647707</v>
      </c>
      <c r="AL128" s="1089"/>
      <c r="AM128" s="1089"/>
      <c r="AN128" s="1089"/>
      <c r="AO128" s="1090"/>
      <c r="AP128" s="1092"/>
      <c r="AQ128" s="1093"/>
      <c r="AR128" s="1093"/>
      <c r="AS128" s="1093"/>
      <c r="AT128" s="1094"/>
      <c r="AU128" s="235"/>
      <c r="AV128" s="235"/>
      <c r="AW128" s="235"/>
      <c r="AX128" s="1053" t="s">
        <v>456</v>
      </c>
      <c r="AY128" s="949"/>
      <c r="AZ128" s="949"/>
      <c r="BA128" s="949"/>
      <c r="BB128" s="949"/>
      <c r="BC128" s="949"/>
      <c r="BD128" s="949"/>
      <c r="BE128" s="950"/>
      <c r="BF128" s="1065" t="s">
        <v>110</v>
      </c>
      <c r="BG128" s="1066"/>
      <c r="BH128" s="1066"/>
      <c r="BI128" s="1066"/>
      <c r="BJ128" s="1066"/>
      <c r="BK128" s="1066"/>
      <c r="BL128" s="1067"/>
      <c r="BM128" s="1065">
        <v>16.63</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457</v>
      </c>
      <c r="X129" s="1060"/>
      <c r="Y129" s="1060"/>
      <c r="Z129" s="1061"/>
      <c r="AA129" s="957">
        <v>33893796</v>
      </c>
      <c r="AB129" s="958"/>
      <c r="AC129" s="958"/>
      <c r="AD129" s="958"/>
      <c r="AE129" s="959"/>
      <c r="AF129" s="960">
        <v>34170629</v>
      </c>
      <c r="AG129" s="958"/>
      <c r="AH129" s="958"/>
      <c r="AI129" s="958"/>
      <c r="AJ129" s="959"/>
      <c r="AK129" s="960">
        <v>34297869</v>
      </c>
      <c r="AL129" s="958"/>
      <c r="AM129" s="958"/>
      <c r="AN129" s="958"/>
      <c r="AO129" s="959"/>
      <c r="AP129" s="1062"/>
      <c r="AQ129" s="1063"/>
      <c r="AR129" s="1063"/>
      <c r="AS129" s="1063"/>
      <c r="AT129" s="1064"/>
      <c r="AU129" s="235"/>
      <c r="AV129" s="235"/>
      <c r="AW129" s="235"/>
      <c r="AX129" s="1053" t="s">
        <v>458</v>
      </c>
      <c r="AY129" s="949"/>
      <c r="AZ129" s="949"/>
      <c r="BA129" s="949"/>
      <c r="BB129" s="949"/>
      <c r="BC129" s="949"/>
      <c r="BD129" s="949"/>
      <c r="BE129" s="950"/>
      <c r="BF129" s="1054">
        <v>2.4</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459</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460</v>
      </c>
      <c r="X130" s="1060"/>
      <c r="Y130" s="1060"/>
      <c r="Z130" s="1061"/>
      <c r="AA130" s="957">
        <v>4892806</v>
      </c>
      <c r="AB130" s="958"/>
      <c r="AC130" s="958"/>
      <c r="AD130" s="958"/>
      <c r="AE130" s="959"/>
      <c r="AF130" s="960">
        <v>4995212</v>
      </c>
      <c r="AG130" s="958"/>
      <c r="AH130" s="958"/>
      <c r="AI130" s="958"/>
      <c r="AJ130" s="959"/>
      <c r="AK130" s="960">
        <v>5237752</v>
      </c>
      <c r="AL130" s="958"/>
      <c r="AM130" s="958"/>
      <c r="AN130" s="958"/>
      <c r="AO130" s="959"/>
      <c r="AP130" s="1062"/>
      <c r="AQ130" s="1063"/>
      <c r="AR130" s="1063"/>
      <c r="AS130" s="1063"/>
      <c r="AT130" s="1064"/>
      <c r="AU130" s="235"/>
      <c r="AV130" s="235"/>
      <c r="AW130" s="235"/>
      <c r="AX130" s="1112" t="s">
        <v>461</v>
      </c>
      <c r="AY130" s="1044"/>
      <c r="AZ130" s="1044"/>
      <c r="BA130" s="1044"/>
      <c r="BB130" s="1044"/>
      <c r="BC130" s="1044"/>
      <c r="BD130" s="1044"/>
      <c r="BE130" s="1045"/>
      <c r="BF130" s="1074" t="s">
        <v>110</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462</v>
      </c>
      <c r="X131" s="1083"/>
      <c r="Y131" s="1083"/>
      <c r="Z131" s="1084"/>
      <c r="AA131" s="996">
        <v>29000990</v>
      </c>
      <c r="AB131" s="997"/>
      <c r="AC131" s="997"/>
      <c r="AD131" s="997"/>
      <c r="AE131" s="998"/>
      <c r="AF131" s="999">
        <v>29175417</v>
      </c>
      <c r="AG131" s="997"/>
      <c r="AH131" s="997"/>
      <c r="AI131" s="997"/>
      <c r="AJ131" s="998"/>
      <c r="AK131" s="999">
        <v>29060117</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464</v>
      </c>
      <c r="W132" s="1100"/>
      <c r="X132" s="1100"/>
      <c r="Y132" s="1100"/>
      <c r="Z132" s="1101"/>
      <c r="AA132" s="1102">
        <v>3.0806258679999998</v>
      </c>
      <c r="AB132" s="1103"/>
      <c r="AC132" s="1103"/>
      <c r="AD132" s="1103"/>
      <c r="AE132" s="1104"/>
      <c r="AF132" s="1105">
        <v>2.3234903550000001</v>
      </c>
      <c r="AG132" s="1103"/>
      <c r="AH132" s="1103"/>
      <c r="AI132" s="1103"/>
      <c r="AJ132" s="1104"/>
      <c r="AK132" s="1105">
        <v>2.064361957</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465</v>
      </c>
      <c r="W133" s="1107"/>
      <c r="X133" s="1107"/>
      <c r="Y133" s="1107"/>
      <c r="Z133" s="1108"/>
      <c r="AA133" s="1109">
        <v>3.5</v>
      </c>
      <c r="AB133" s="1110"/>
      <c r="AC133" s="1110"/>
      <c r="AD133" s="1110"/>
      <c r="AE133" s="1111"/>
      <c r="AF133" s="1109">
        <v>3.1</v>
      </c>
      <c r="AG133" s="1110"/>
      <c r="AH133" s="1110"/>
      <c r="AI133" s="1110"/>
      <c r="AJ133" s="1111"/>
      <c r="AK133" s="1109">
        <v>2.4</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55" workbookViewId="0">
      <selection activeCell="K28" sqref="K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6" t="s">
        <v>468</v>
      </c>
      <c r="L7" s="254"/>
      <c r="M7" s="255" t="s">
        <v>469</v>
      </c>
      <c r="N7" s="256"/>
    </row>
    <row r="8" spans="1:16">
      <c r="A8" s="248"/>
      <c r="B8" s="244"/>
      <c r="C8" s="244"/>
      <c r="D8" s="244"/>
      <c r="E8" s="244"/>
      <c r="F8" s="244"/>
      <c r="G8" s="257"/>
      <c r="H8" s="258"/>
      <c r="I8" s="258"/>
      <c r="J8" s="259"/>
      <c r="K8" s="1117"/>
      <c r="L8" s="260" t="s">
        <v>470</v>
      </c>
      <c r="M8" s="261" t="s">
        <v>471</v>
      </c>
      <c r="N8" s="262" t="s">
        <v>472</v>
      </c>
    </row>
    <row r="9" spans="1:16">
      <c r="A9" s="248"/>
      <c r="B9" s="244"/>
      <c r="C9" s="244"/>
      <c r="D9" s="244"/>
      <c r="E9" s="244"/>
      <c r="F9" s="244"/>
      <c r="G9" s="1118" t="s">
        <v>473</v>
      </c>
      <c r="H9" s="1119"/>
      <c r="I9" s="1119"/>
      <c r="J9" s="1120"/>
      <c r="K9" s="263">
        <v>11475350</v>
      </c>
      <c r="L9" s="264">
        <v>60126</v>
      </c>
      <c r="M9" s="265">
        <v>57009</v>
      </c>
      <c r="N9" s="266">
        <v>5.5</v>
      </c>
    </row>
    <row r="10" spans="1:16">
      <c r="A10" s="248"/>
      <c r="B10" s="244"/>
      <c r="C10" s="244"/>
      <c r="D10" s="244"/>
      <c r="E10" s="244"/>
      <c r="F10" s="244"/>
      <c r="G10" s="1118" t="s">
        <v>474</v>
      </c>
      <c r="H10" s="1119"/>
      <c r="I10" s="1119"/>
      <c r="J10" s="1120"/>
      <c r="K10" s="267">
        <v>1004358</v>
      </c>
      <c r="L10" s="268">
        <v>5262</v>
      </c>
      <c r="M10" s="269">
        <v>3340</v>
      </c>
      <c r="N10" s="270">
        <v>57.5</v>
      </c>
    </row>
    <row r="11" spans="1:16" ht="13.5" customHeight="1">
      <c r="A11" s="248"/>
      <c r="B11" s="244"/>
      <c r="C11" s="244"/>
      <c r="D11" s="244"/>
      <c r="E11" s="244"/>
      <c r="F11" s="244"/>
      <c r="G11" s="1118" t="s">
        <v>475</v>
      </c>
      <c r="H11" s="1119"/>
      <c r="I11" s="1119"/>
      <c r="J11" s="1120"/>
      <c r="K11" s="267">
        <v>402852</v>
      </c>
      <c r="L11" s="268">
        <v>2111</v>
      </c>
      <c r="M11" s="269">
        <v>1813</v>
      </c>
      <c r="N11" s="270">
        <v>16.399999999999999</v>
      </c>
    </row>
    <row r="12" spans="1:16" ht="13.5" customHeight="1">
      <c r="A12" s="248"/>
      <c r="B12" s="244"/>
      <c r="C12" s="244"/>
      <c r="D12" s="244"/>
      <c r="E12" s="244"/>
      <c r="F12" s="244"/>
      <c r="G12" s="1118" t="s">
        <v>476</v>
      </c>
      <c r="H12" s="1119"/>
      <c r="I12" s="1119"/>
      <c r="J12" s="1120"/>
      <c r="K12" s="267" t="s">
        <v>477</v>
      </c>
      <c r="L12" s="268" t="s">
        <v>477</v>
      </c>
      <c r="M12" s="269">
        <v>675</v>
      </c>
      <c r="N12" s="270" t="s">
        <v>477</v>
      </c>
    </row>
    <row r="13" spans="1:16" ht="13.5" customHeight="1">
      <c r="A13" s="248"/>
      <c r="B13" s="244"/>
      <c r="C13" s="244"/>
      <c r="D13" s="244"/>
      <c r="E13" s="244"/>
      <c r="F13" s="244"/>
      <c r="G13" s="1118" t="s">
        <v>478</v>
      </c>
      <c r="H13" s="1119"/>
      <c r="I13" s="1119"/>
      <c r="J13" s="1120"/>
      <c r="K13" s="267" t="s">
        <v>477</v>
      </c>
      <c r="L13" s="268" t="s">
        <v>477</v>
      </c>
      <c r="M13" s="269">
        <v>17</v>
      </c>
      <c r="N13" s="270" t="s">
        <v>477</v>
      </c>
    </row>
    <row r="14" spans="1:16" ht="13.5" customHeight="1">
      <c r="A14" s="248"/>
      <c r="B14" s="244"/>
      <c r="C14" s="244"/>
      <c r="D14" s="244"/>
      <c r="E14" s="244"/>
      <c r="F14" s="244"/>
      <c r="G14" s="1118" t="s">
        <v>479</v>
      </c>
      <c r="H14" s="1119"/>
      <c r="I14" s="1119"/>
      <c r="J14" s="1120"/>
      <c r="K14" s="267">
        <v>351497</v>
      </c>
      <c r="L14" s="268">
        <v>1842</v>
      </c>
      <c r="M14" s="269">
        <v>2354</v>
      </c>
      <c r="N14" s="270">
        <v>-21.8</v>
      </c>
    </row>
    <row r="15" spans="1:16" ht="13.5" customHeight="1">
      <c r="A15" s="248"/>
      <c r="B15" s="244"/>
      <c r="C15" s="244"/>
      <c r="D15" s="244"/>
      <c r="E15" s="244"/>
      <c r="F15" s="244"/>
      <c r="G15" s="1118" t="s">
        <v>480</v>
      </c>
      <c r="H15" s="1119"/>
      <c r="I15" s="1119"/>
      <c r="J15" s="1120"/>
      <c r="K15" s="267">
        <v>137705</v>
      </c>
      <c r="L15" s="268">
        <v>722</v>
      </c>
      <c r="M15" s="269">
        <v>1355</v>
      </c>
      <c r="N15" s="270">
        <v>-46.7</v>
      </c>
    </row>
    <row r="16" spans="1:16">
      <c r="A16" s="248"/>
      <c r="B16" s="244"/>
      <c r="C16" s="244"/>
      <c r="D16" s="244"/>
      <c r="E16" s="244"/>
      <c r="F16" s="244"/>
      <c r="G16" s="1121" t="s">
        <v>481</v>
      </c>
      <c r="H16" s="1122"/>
      <c r="I16" s="1122"/>
      <c r="J16" s="1123"/>
      <c r="K16" s="268">
        <v>-777742</v>
      </c>
      <c r="L16" s="268">
        <v>-4075</v>
      </c>
      <c r="M16" s="269">
        <v>-5590</v>
      </c>
      <c r="N16" s="270">
        <v>-27.1</v>
      </c>
    </row>
    <row r="17" spans="1:16">
      <c r="A17" s="248"/>
      <c r="B17" s="244"/>
      <c r="C17" s="244"/>
      <c r="D17" s="244"/>
      <c r="E17" s="244"/>
      <c r="F17" s="244"/>
      <c r="G17" s="1121" t="s">
        <v>168</v>
      </c>
      <c r="H17" s="1122"/>
      <c r="I17" s="1122"/>
      <c r="J17" s="1123"/>
      <c r="K17" s="268">
        <v>12594020</v>
      </c>
      <c r="L17" s="268">
        <v>65987</v>
      </c>
      <c r="M17" s="269">
        <v>60973</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3" t="s">
        <v>486</v>
      </c>
      <c r="H21" s="1114"/>
      <c r="I21" s="1114"/>
      <c r="J21" s="1115"/>
      <c r="K21" s="280">
        <v>6.62</v>
      </c>
      <c r="L21" s="281">
        <v>6.07</v>
      </c>
      <c r="M21" s="282">
        <v>0.55000000000000004</v>
      </c>
      <c r="N21" s="249"/>
      <c r="O21" s="283"/>
      <c r="P21" s="279"/>
    </row>
    <row r="22" spans="1:16" s="284" customFormat="1">
      <c r="A22" s="279"/>
      <c r="B22" s="249"/>
      <c r="C22" s="249"/>
      <c r="D22" s="249"/>
      <c r="E22" s="249"/>
      <c r="F22" s="249"/>
      <c r="G22" s="1113" t="s">
        <v>487</v>
      </c>
      <c r="H22" s="1114"/>
      <c r="I22" s="1114"/>
      <c r="J22" s="1115"/>
      <c r="K22" s="285">
        <v>104.6</v>
      </c>
      <c r="L22" s="286">
        <v>99.9</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6" t="s">
        <v>468</v>
      </c>
      <c r="L30" s="254"/>
      <c r="M30" s="255" t="s">
        <v>469</v>
      </c>
      <c r="N30" s="256"/>
    </row>
    <row r="31" spans="1:16">
      <c r="A31" s="248"/>
      <c r="B31" s="244"/>
      <c r="C31" s="244"/>
      <c r="D31" s="244"/>
      <c r="E31" s="244"/>
      <c r="F31" s="244"/>
      <c r="G31" s="257"/>
      <c r="H31" s="258"/>
      <c r="I31" s="258"/>
      <c r="J31" s="259"/>
      <c r="K31" s="1117"/>
      <c r="L31" s="260" t="s">
        <v>470</v>
      </c>
      <c r="M31" s="261" t="s">
        <v>471</v>
      </c>
      <c r="N31" s="262" t="s">
        <v>472</v>
      </c>
    </row>
    <row r="32" spans="1:16" ht="27" customHeight="1">
      <c r="A32" s="248"/>
      <c r="B32" s="244"/>
      <c r="C32" s="244"/>
      <c r="D32" s="244"/>
      <c r="E32" s="244"/>
      <c r="F32" s="244"/>
      <c r="G32" s="1129" t="s">
        <v>490</v>
      </c>
      <c r="H32" s="1130"/>
      <c r="I32" s="1130"/>
      <c r="J32" s="1131"/>
      <c r="K32" s="294">
        <v>5474135</v>
      </c>
      <c r="L32" s="294">
        <v>28682</v>
      </c>
      <c r="M32" s="295">
        <v>31696</v>
      </c>
      <c r="N32" s="296">
        <v>-9.5</v>
      </c>
    </row>
    <row r="33" spans="1:16" ht="13.5" customHeight="1">
      <c r="A33" s="248"/>
      <c r="B33" s="244"/>
      <c r="C33" s="244"/>
      <c r="D33" s="244"/>
      <c r="E33" s="244"/>
      <c r="F33" s="244"/>
      <c r="G33" s="1129" t="s">
        <v>491</v>
      </c>
      <c r="H33" s="1130"/>
      <c r="I33" s="1130"/>
      <c r="J33" s="1131"/>
      <c r="K33" s="294" t="s">
        <v>477</v>
      </c>
      <c r="L33" s="294" t="s">
        <v>477</v>
      </c>
      <c r="M33" s="295">
        <v>4</v>
      </c>
      <c r="N33" s="296" t="s">
        <v>477</v>
      </c>
    </row>
    <row r="34" spans="1:16" ht="27" customHeight="1">
      <c r="A34" s="248"/>
      <c r="B34" s="244"/>
      <c r="C34" s="244"/>
      <c r="D34" s="244"/>
      <c r="E34" s="244"/>
      <c r="F34" s="244"/>
      <c r="G34" s="1129" t="s">
        <v>492</v>
      </c>
      <c r="H34" s="1130"/>
      <c r="I34" s="1130"/>
      <c r="J34" s="1131"/>
      <c r="K34" s="294" t="s">
        <v>477</v>
      </c>
      <c r="L34" s="294" t="s">
        <v>477</v>
      </c>
      <c r="M34" s="295">
        <v>31</v>
      </c>
      <c r="N34" s="296" t="s">
        <v>477</v>
      </c>
    </row>
    <row r="35" spans="1:16" ht="27" customHeight="1">
      <c r="A35" s="248"/>
      <c r="B35" s="244"/>
      <c r="C35" s="244"/>
      <c r="D35" s="244"/>
      <c r="E35" s="244"/>
      <c r="F35" s="244"/>
      <c r="G35" s="1129" t="s">
        <v>493</v>
      </c>
      <c r="H35" s="1130"/>
      <c r="I35" s="1130"/>
      <c r="J35" s="1131"/>
      <c r="K35" s="294">
        <v>1675290</v>
      </c>
      <c r="L35" s="294">
        <v>8778</v>
      </c>
      <c r="M35" s="295">
        <v>8185</v>
      </c>
      <c r="N35" s="296">
        <v>7.2</v>
      </c>
    </row>
    <row r="36" spans="1:16" ht="27" customHeight="1">
      <c r="A36" s="248"/>
      <c r="B36" s="244"/>
      <c r="C36" s="244"/>
      <c r="D36" s="244"/>
      <c r="E36" s="244"/>
      <c r="F36" s="244"/>
      <c r="G36" s="1129" t="s">
        <v>494</v>
      </c>
      <c r="H36" s="1130"/>
      <c r="I36" s="1130"/>
      <c r="J36" s="1131"/>
      <c r="K36" s="294">
        <v>278635</v>
      </c>
      <c r="L36" s="294">
        <v>1460</v>
      </c>
      <c r="M36" s="295">
        <v>857</v>
      </c>
      <c r="N36" s="296">
        <v>70.400000000000006</v>
      </c>
    </row>
    <row r="37" spans="1:16" ht="13.5" customHeight="1">
      <c r="A37" s="248"/>
      <c r="B37" s="244"/>
      <c r="C37" s="244"/>
      <c r="D37" s="244"/>
      <c r="E37" s="244"/>
      <c r="F37" s="244"/>
      <c r="G37" s="1129" t="s">
        <v>495</v>
      </c>
      <c r="H37" s="1130"/>
      <c r="I37" s="1130"/>
      <c r="J37" s="1131"/>
      <c r="K37" s="294">
        <v>57305</v>
      </c>
      <c r="L37" s="294">
        <v>300</v>
      </c>
      <c r="M37" s="295">
        <v>1599</v>
      </c>
      <c r="N37" s="296">
        <v>-81.2</v>
      </c>
    </row>
    <row r="38" spans="1:16" ht="27" customHeight="1">
      <c r="A38" s="248"/>
      <c r="B38" s="244"/>
      <c r="C38" s="244"/>
      <c r="D38" s="244"/>
      <c r="E38" s="244"/>
      <c r="F38" s="244"/>
      <c r="G38" s="1132" t="s">
        <v>496</v>
      </c>
      <c r="H38" s="1133"/>
      <c r="I38" s="1133"/>
      <c r="J38" s="1134"/>
      <c r="K38" s="297" t="s">
        <v>477</v>
      </c>
      <c r="L38" s="297" t="s">
        <v>477</v>
      </c>
      <c r="M38" s="298">
        <v>2</v>
      </c>
      <c r="N38" s="299" t="s">
        <v>477</v>
      </c>
      <c r="O38" s="293"/>
    </row>
    <row r="39" spans="1:16">
      <c r="A39" s="248"/>
      <c r="B39" s="244"/>
      <c r="C39" s="244"/>
      <c r="D39" s="244"/>
      <c r="E39" s="244"/>
      <c r="F39" s="244"/>
      <c r="G39" s="1132" t="s">
        <v>497</v>
      </c>
      <c r="H39" s="1133"/>
      <c r="I39" s="1133"/>
      <c r="J39" s="1134"/>
      <c r="K39" s="300">
        <v>-1647707</v>
      </c>
      <c r="L39" s="300">
        <v>-8633</v>
      </c>
      <c r="M39" s="301">
        <v>-7786</v>
      </c>
      <c r="N39" s="302">
        <v>10.9</v>
      </c>
      <c r="O39" s="293"/>
    </row>
    <row r="40" spans="1:16" ht="27" customHeight="1">
      <c r="A40" s="248"/>
      <c r="B40" s="244"/>
      <c r="C40" s="244"/>
      <c r="D40" s="244"/>
      <c r="E40" s="244"/>
      <c r="F40" s="244"/>
      <c r="G40" s="1129" t="s">
        <v>498</v>
      </c>
      <c r="H40" s="1130"/>
      <c r="I40" s="1130"/>
      <c r="J40" s="1131"/>
      <c r="K40" s="300">
        <v>-5237752</v>
      </c>
      <c r="L40" s="300">
        <v>-27443</v>
      </c>
      <c r="M40" s="301">
        <v>-26731</v>
      </c>
      <c r="N40" s="302">
        <v>2.7</v>
      </c>
      <c r="O40" s="293"/>
    </row>
    <row r="41" spans="1:16">
      <c r="A41" s="248"/>
      <c r="B41" s="244"/>
      <c r="C41" s="244"/>
      <c r="D41" s="244"/>
      <c r="E41" s="244"/>
      <c r="F41" s="244"/>
      <c r="G41" s="1135" t="s">
        <v>279</v>
      </c>
      <c r="H41" s="1136"/>
      <c r="I41" s="1136"/>
      <c r="J41" s="1137"/>
      <c r="K41" s="294">
        <v>599906</v>
      </c>
      <c r="L41" s="300">
        <v>3143</v>
      </c>
      <c r="M41" s="301">
        <v>7858</v>
      </c>
      <c r="N41" s="302">
        <v>-60</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4" t="s">
        <v>468</v>
      </c>
      <c r="J49" s="1126" t="s">
        <v>502</v>
      </c>
      <c r="K49" s="1127"/>
      <c r="L49" s="1127"/>
      <c r="M49" s="1127"/>
      <c r="N49" s="1128"/>
    </row>
    <row r="50" spans="1:14">
      <c r="A50" s="248"/>
      <c r="B50" s="244"/>
      <c r="C50" s="244"/>
      <c r="D50" s="244"/>
      <c r="E50" s="244"/>
      <c r="F50" s="244"/>
      <c r="G50" s="312"/>
      <c r="H50" s="313"/>
      <c r="I50" s="1125"/>
      <c r="J50" s="314" t="s">
        <v>503</v>
      </c>
      <c r="K50" s="315" t="s">
        <v>504</v>
      </c>
      <c r="L50" s="316" t="s">
        <v>505</v>
      </c>
      <c r="M50" s="317" t="s">
        <v>506</v>
      </c>
      <c r="N50" s="318" t="s">
        <v>507</v>
      </c>
    </row>
    <row r="51" spans="1:14">
      <c r="A51" s="248"/>
      <c r="B51" s="244"/>
      <c r="C51" s="244"/>
      <c r="D51" s="244"/>
      <c r="E51" s="244"/>
      <c r="F51" s="244"/>
      <c r="G51" s="310" t="s">
        <v>508</v>
      </c>
      <c r="H51" s="311"/>
      <c r="I51" s="319">
        <v>8308330</v>
      </c>
      <c r="J51" s="320">
        <v>43604</v>
      </c>
      <c r="K51" s="321">
        <v>45.1</v>
      </c>
      <c r="L51" s="322">
        <v>37688</v>
      </c>
      <c r="M51" s="323">
        <v>-1.7</v>
      </c>
      <c r="N51" s="324">
        <v>46.8</v>
      </c>
    </row>
    <row r="52" spans="1:14">
      <c r="A52" s="248"/>
      <c r="B52" s="244"/>
      <c r="C52" s="244"/>
      <c r="D52" s="244"/>
      <c r="E52" s="244"/>
      <c r="F52" s="244"/>
      <c r="G52" s="325"/>
      <c r="H52" s="326" t="s">
        <v>509</v>
      </c>
      <c r="I52" s="327">
        <v>4554480</v>
      </c>
      <c r="J52" s="328">
        <v>23903</v>
      </c>
      <c r="K52" s="329">
        <v>38.9</v>
      </c>
      <c r="L52" s="330">
        <v>22661</v>
      </c>
      <c r="M52" s="331">
        <v>0.3</v>
      </c>
      <c r="N52" s="332">
        <v>38.6</v>
      </c>
    </row>
    <row r="53" spans="1:14">
      <c r="A53" s="248"/>
      <c r="B53" s="244"/>
      <c r="C53" s="244"/>
      <c r="D53" s="244"/>
      <c r="E53" s="244"/>
      <c r="F53" s="244"/>
      <c r="G53" s="310" t="s">
        <v>510</v>
      </c>
      <c r="H53" s="311"/>
      <c r="I53" s="319">
        <v>7682426</v>
      </c>
      <c r="J53" s="320">
        <v>40400</v>
      </c>
      <c r="K53" s="321">
        <v>-7.3</v>
      </c>
      <c r="L53" s="322">
        <v>38606</v>
      </c>
      <c r="M53" s="323">
        <v>2.4</v>
      </c>
      <c r="N53" s="324">
        <v>-9.6999999999999993</v>
      </c>
    </row>
    <row r="54" spans="1:14">
      <c r="A54" s="248"/>
      <c r="B54" s="244"/>
      <c r="C54" s="244"/>
      <c r="D54" s="244"/>
      <c r="E54" s="244"/>
      <c r="F54" s="244"/>
      <c r="G54" s="325"/>
      <c r="H54" s="326" t="s">
        <v>509</v>
      </c>
      <c r="I54" s="327">
        <v>3093653</v>
      </c>
      <c r="J54" s="328">
        <v>16269</v>
      </c>
      <c r="K54" s="329">
        <v>-31.9</v>
      </c>
      <c r="L54" s="330">
        <v>22435</v>
      </c>
      <c r="M54" s="331">
        <v>-1</v>
      </c>
      <c r="N54" s="332">
        <v>-30.9</v>
      </c>
    </row>
    <row r="55" spans="1:14">
      <c r="A55" s="248"/>
      <c r="B55" s="244"/>
      <c r="C55" s="244"/>
      <c r="D55" s="244"/>
      <c r="E55" s="244"/>
      <c r="F55" s="244"/>
      <c r="G55" s="310" t="s">
        <v>511</v>
      </c>
      <c r="H55" s="311"/>
      <c r="I55" s="319">
        <v>5396711</v>
      </c>
      <c r="J55" s="320">
        <v>28080</v>
      </c>
      <c r="K55" s="321">
        <v>-30.5</v>
      </c>
      <c r="L55" s="322">
        <v>39425</v>
      </c>
      <c r="M55" s="323">
        <v>2.1</v>
      </c>
      <c r="N55" s="324">
        <v>-32.6</v>
      </c>
    </row>
    <row r="56" spans="1:14">
      <c r="A56" s="248"/>
      <c r="B56" s="244"/>
      <c r="C56" s="244"/>
      <c r="D56" s="244"/>
      <c r="E56" s="244"/>
      <c r="F56" s="244"/>
      <c r="G56" s="325"/>
      <c r="H56" s="326" t="s">
        <v>509</v>
      </c>
      <c r="I56" s="327">
        <v>2796667</v>
      </c>
      <c r="J56" s="328">
        <v>14552</v>
      </c>
      <c r="K56" s="329">
        <v>-10.6</v>
      </c>
      <c r="L56" s="330">
        <v>22414</v>
      </c>
      <c r="M56" s="331">
        <v>-0.1</v>
      </c>
      <c r="N56" s="332">
        <v>-10.5</v>
      </c>
    </row>
    <row r="57" spans="1:14">
      <c r="A57" s="248"/>
      <c r="B57" s="244"/>
      <c r="C57" s="244"/>
      <c r="D57" s="244"/>
      <c r="E57" s="244"/>
      <c r="F57" s="244"/>
      <c r="G57" s="310" t="s">
        <v>512</v>
      </c>
      <c r="H57" s="311"/>
      <c r="I57" s="319">
        <v>5773393</v>
      </c>
      <c r="J57" s="320">
        <v>30101</v>
      </c>
      <c r="K57" s="321">
        <v>7.2</v>
      </c>
      <c r="L57" s="322">
        <v>43141</v>
      </c>
      <c r="M57" s="323">
        <v>9.4</v>
      </c>
      <c r="N57" s="324">
        <v>-2.2000000000000002</v>
      </c>
    </row>
    <row r="58" spans="1:14">
      <c r="A58" s="248"/>
      <c r="B58" s="244"/>
      <c r="C58" s="244"/>
      <c r="D58" s="244"/>
      <c r="E58" s="244"/>
      <c r="F58" s="244"/>
      <c r="G58" s="325"/>
      <c r="H58" s="326" t="s">
        <v>509</v>
      </c>
      <c r="I58" s="327">
        <v>2978942</v>
      </c>
      <c r="J58" s="328">
        <v>15531</v>
      </c>
      <c r="K58" s="329">
        <v>6.7</v>
      </c>
      <c r="L58" s="330">
        <v>21887</v>
      </c>
      <c r="M58" s="331">
        <v>-2.4</v>
      </c>
      <c r="N58" s="332">
        <v>9.1</v>
      </c>
    </row>
    <row r="59" spans="1:14">
      <c r="A59" s="248"/>
      <c r="B59" s="244"/>
      <c r="C59" s="244"/>
      <c r="D59" s="244"/>
      <c r="E59" s="244"/>
      <c r="F59" s="244"/>
      <c r="G59" s="310" t="s">
        <v>513</v>
      </c>
      <c r="H59" s="311"/>
      <c r="I59" s="319">
        <v>4591929</v>
      </c>
      <c r="J59" s="320">
        <v>24060</v>
      </c>
      <c r="K59" s="321">
        <v>-20.100000000000001</v>
      </c>
      <c r="L59" s="322">
        <v>45117</v>
      </c>
      <c r="M59" s="323">
        <v>4.5999999999999996</v>
      </c>
      <c r="N59" s="324">
        <v>-24.7</v>
      </c>
    </row>
    <row r="60" spans="1:14">
      <c r="A60" s="248"/>
      <c r="B60" s="244"/>
      <c r="C60" s="244"/>
      <c r="D60" s="244"/>
      <c r="E60" s="244"/>
      <c r="F60" s="244"/>
      <c r="G60" s="325"/>
      <c r="H60" s="326" t="s">
        <v>509</v>
      </c>
      <c r="I60" s="333">
        <v>2676645</v>
      </c>
      <c r="J60" s="328">
        <v>14024</v>
      </c>
      <c r="K60" s="329">
        <v>-9.6999999999999993</v>
      </c>
      <c r="L60" s="330">
        <v>25589</v>
      </c>
      <c r="M60" s="331">
        <v>16.899999999999999</v>
      </c>
      <c r="N60" s="332">
        <v>-26.6</v>
      </c>
    </row>
    <row r="61" spans="1:14">
      <c r="A61" s="248"/>
      <c r="B61" s="244"/>
      <c r="C61" s="244"/>
      <c r="D61" s="244"/>
      <c r="E61" s="244"/>
      <c r="F61" s="244"/>
      <c r="G61" s="310" t="s">
        <v>514</v>
      </c>
      <c r="H61" s="334"/>
      <c r="I61" s="335">
        <v>6350558</v>
      </c>
      <c r="J61" s="336">
        <v>33249</v>
      </c>
      <c r="K61" s="337">
        <v>-1.1000000000000001</v>
      </c>
      <c r="L61" s="338">
        <v>40795</v>
      </c>
      <c r="M61" s="339">
        <v>3.4</v>
      </c>
      <c r="N61" s="324">
        <v>-4.5</v>
      </c>
    </row>
    <row r="62" spans="1:14">
      <c r="A62" s="248"/>
      <c r="B62" s="244"/>
      <c r="C62" s="244"/>
      <c r="D62" s="244"/>
      <c r="E62" s="244"/>
      <c r="F62" s="244"/>
      <c r="G62" s="325"/>
      <c r="H62" s="326" t="s">
        <v>509</v>
      </c>
      <c r="I62" s="327">
        <v>3220077</v>
      </c>
      <c r="J62" s="328">
        <v>16856</v>
      </c>
      <c r="K62" s="329">
        <v>-1.3</v>
      </c>
      <c r="L62" s="330">
        <v>22997</v>
      </c>
      <c r="M62" s="331">
        <v>2.7</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9" zoomScaleSheetLayoutView="100" workbookViewId="0">
      <selection activeCell="B49" sqref="B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8" t="s">
        <v>3</v>
      </c>
      <c r="D47" s="1138"/>
      <c r="E47" s="1139"/>
      <c r="F47" s="11">
        <v>7</v>
      </c>
      <c r="G47" s="12">
        <v>8.75</v>
      </c>
      <c r="H47" s="12">
        <v>6.58</v>
      </c>
      <c r="I47" s="12">
        <v>7.16</v>
      </c>
      <c r="J47" s="13">
        <v>7.6</v>
      </c>
    </row>
    <row r="48" spans="2:10" ht="57.75" customHeight="1">
      <c r="B48" s="14"/>
      <c r="C48" s="1140" t="s">
        <v>4</v>
      </c>
      <c r="D48" s="1140"/>
      <c r="E48" s="1141"/>
      <c r="F48" s="15">
        <v>1.1100000000000001</v>
      </c>
      <c r="G48" s="16">
        <v>1.08</v>
      </c>
      <c r="H48" s="16">
        <v>1.01</v>
      </c>
      <c r="I48" s="16">
        <v>0.91</v>
      </c>
      <c r="J48" s="17">
        <v>0.85</v>
      </c>
    </row>
    <row r="49" spans="2:10" ht="57.75" customHeight="1" thickBot="1">
      <c r="B49" s="18"/>
      <c r="C49" s="1142" t="s">
        <v>5</v>
      </c>
      <c r="D49" s="1142"/>
      <c r="E49" s="1143"/>
      <c r="F49" s="19" t="s">
        <v>521</v>
      </c>
      <c r="G49" s="20">
        <v>1.45</v>
      </c>
      <c r="H49" s="20" t="s">
        <v>522</v>
      </c>
      <c r="I49" s="20">
        <v>0.51</v>
      </c>
      <c r="J49" s="21">
        <v>0.39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90" zoomScaleNormal="90"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0" t="s">
        <v>523</v>
      </c>
      <c r="D34" s="1150"/>
      <c r="E34" s="1151"/>
      <c r="F34" s="32">
        <v>5.05</v>
      </c>
      <c r="G34" s="33">
        <v>5.42</v>
      </c>
      <c r="H34" s="33">
        <v>5.47</v>
      </c>
      <c r="I34" s="33">
        <v>5.84</v>
      </c>
      <c r="J34" s="34">
        <v>5.86</v>
      </c>
      <c r="K34" s="22"/>
      <c r="L34" s="22"/>
      <c r="M34" s="22"/>
      <c r="N34" s="22"/>
      <c r="O34" s="22"/>
      <c r="P34" s="22"/>
    </row>
    <row r="35" spans="1:16" ht="39" customHeight="1">
      <c r="A35" s="22"/>
      <c r="B35" s="35"/>
      <c r="C35" s="1144" t="s">
        <v>524</v>
      </c>
      <c r="D35" s="1145"/>
      <c r="E35" s="1146"/>
      <c r="F35" s="36">
        <v>0.05</v>
      </c>
      <c r="G35" s="37">
        <v>0.41</v>
      </c>
      <c r="H35" s="37">
        <v>0.82</v>
      </c>
      <c r="I35" s="37">
        <v>0.97</v>
      </c>
      <c r="J35" s="38">
        <v>1.42</v>
      </c>
      <c r="K35" s="22"/>
      <c r="L35" s="22"/>
      <c r="M35" s="22"/>
      <c r="N35" s="22"/>
      <c r="O35" s="22"/>
      <c r="P35" s="22"/>
    </row>
    <row r="36" spans="1:16" ht="39" customHeight="1">
      <c r="A36" s="22"/>
      <c r="B36" s="35"/>
      <c r="C36" s="1144" t="s">
        <v>525</v>
      </c>
      <c r="D36" s="1145"/>
      <c r="E36" s="1146"/>
      <c r="F36" s="36">
        <v>1.36</v>
      </c>
      <c r="G36" s="37">
        <v>1.28</v>
      </c>
      <c r="H36" s="37">
        <v>2.13</v>
      </c>
      <c r="I36" s="37">
        <v>1.87</v>
      </c>
      <c r="J36" s="38">
        <v>1.4</v>
      </c>
      <c r="K36" s="22"/>
      <c r="L36" s="22"/>
      <c r="M36" s="22"/>
      <c r="N36" s="22"/>
      <c r="O36" s="22"/>
      <c r="P36" s="22"/>
    </row>
    <row r="37" spans="1:16" ht="39" customHeight="1">
      <c r="A37" s="22"/>
      <c r="B37" s="35"/>
      <c r="C37" s="1144" t="s">
        <v>526</v>
      </c>
      <c r="D37" s="1145"/>
      <c r="E37" s="1146"/>
      <c r="F37" s="36">
        <v>0</v>
      </c>
      <c r="G37" s="37">
        <v>0</v>
      </c>
      <c r="H37" s="37">
        <v>0</v>
      </c>
      <c r="I37" s="37">
        <v>0</v>
      </c>
      <c r="J37" s="38">
        <v>1.05</v>
      </c>
      <c r="K37" s="22"/>
      <c r="L37" s="22"/>
      <c r="M37" s="22"/>
      <c r="N37" s="22"/>
      <c r="O37" s="22"/>
      <c r="P37" s="22"/>
    </row>
    <row r="38" spans="1:16" ht="39" customHeight="1">
      <c r="A38" s="22"/>
      <c r="B38" s="35"/>
      <c r="C38" s="1144" t="s">
        <v>527</v>
      </c>
      <c r="D38" s="1145"/>
      <c r="E38" s="1146"/>
      <c r="F38" s="36">
        <v>1.1100000000000001</v>
      </c>
      <c r="G38" s="37">
        <v>1.08</v>
      </c>
      <c r="H38" s="37">
        <v>1</v>
      </c>
      <c r="I38" s="37">
        <v>0.9</v>
      </c>
      <c r="J38" s="38">
        <v>0.85</v>
      </c>
      <c r="K38" s="22"/>
      <c r="L38" s="22"/>
      <c r="M38" s="22"/>
      <c r="N38" s="22"/>
      <c r="O38" s="22"/>
      <c r="P38" s="22"/>
    </row>
    <row r="39" spans="1:16" ht="39" customHeight="1">
      <c r="A39" s="22"/>
      <c r="B39" s="35"/>
      <c r="C39" s="1144" t="s">
        <v>528</v>
      </c>
      <c r="D39" s="1145"/>
      <c r="E39" s="1146"/>
      <c r="F39" s="36">
        <v>0.02</v>
      </c>
      <c r="G39" s="37">
        <v>0.19</v>
      </c>
      <c r="H39" s="37">
        <v>0.22</v>
      </c>
      <c r="I39" s="37">
        <v>0.03</v>
      </c>
      <c r="J39" s="38">
        <v>0.03</v>
      </c>
      <c r="K39" s="22"/>
      <c r="L39" s="22"/>
      <c r="M39" s="22"/>
      <c r="N39" s="22"/>
      <c r="O39" s="22"/>
      <c r="P39" s="22"/>
    </row>
    <row r="40" spans="1:16" ht="39" customHeight="1">
      <c r="A40" s="22"/>
      <c r="B40" s="35"/>
      <c r="C40" s="1144" t="s">
        <v>529</v>
      </c>
      <c r="D40" s="1145"/>
      <c r="E40" s="1146"/>
      <c r="F40" s="36">
        <v>0</v>
      </c>
      <c r="G40" s="37">
        <v>0</v>
      </c>
      <c r="H40" s="37">
        <v>0</v>
      </c>
      <c r="I40" s="37">
        <v>0</v>
      </c>
      <c r="J40" s="38">
        <v>0.01</v>
      </c>
      <c r="K40" s="22"/>
      <c r="L40" s="22"/>
      <c r="M40" s="22"/>
      <c r="N40" s="22"/>
      <c r="O40" s="22"/>
      <c r="P40" s="22"/>
    </row>
    <row r="41" spans="1:16" ht="39" customHeight="1">
      <c r="A41" s="22"/>
      <c r="B41" s="35"/>
      <c r="C41" s="1144" t="s">
        <v>530</v>
      </c>
      <c r="D41" s="1145"/>
      <c r="E41" s="1146"/>
      <c r="F41" s="36">
        <v>0</v>
      </c>
      <c r="G41" s="37">
        <v>0</v>
      </c>
      <c r="H41" s="37">
        <v>0</v>
      </c>
      <c r="I41" s="37">
        <v>0</v>
      </c>
      <c r="J41" s="38">
        <v>0</v>
      </c>
      <c r="K41" s="22"/>
      <c r="L41" s="22"/>
      <c r="M41" s="22"/>
      <c r="N41" s="22"/>
      <c r="O41" s="22"/>
      <c r="P41" s="22"/>
    </row>
    <row r="42" spans="1:16" ht="39" customHeight="1">
      <c r="A42" s="22"/>
      <c r="B42" s="39"/>
      <c r="C42" s="1144" t="s">
        <v>531</v>
      </c>
      <c r="D42" s="1145"/>
      <c r="E42" s="1146"/>
      <c r="F42" s="36" t="s">
        <v>477</v>
      </c>
      <c r="G42" s="37" t="s">
        <v>477</v>
      </c>
      <c r="H42" s="37" t="s">
        <v>477</v>
      </c>
      <c r="I42" s="37" t="s">
        <v>477</v>
      </c>
      <c r="J42" s="38" t="s">
        <v>477</v>
      </c>
      <c r="K42" s="22"/>
      <c r="L42" s="22"/>
      <c r="M42" s="22"/>
      <c r="N42" s="22"/>
      <c r="O42" s="22"/>
      <c r="P42" s="22"/>
    </row>
    <row r="43" spans="1:16" ht="39" customHeight="1" thickBot="1">
      <c r="A43" s="22"/>
      <c r="B43" s="40"/>
      <c r="C43" s="1147" t="s">
        <v>532</v>
      </c>
      <c r="D43" s="1148"/>
      <c r="E43" s="114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9"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0" t="s">
        <v>10</v>
      </c>
      <c r="C45" s="1161"/>
      <c r="D45" s="58"/>
      <c r="E45" s="1166" t="s">
        <v>11</v>
      </c>
      <c r="F45" s="1166"/>
      <c r="G45" s="1166"/>
      <c r="H45" s="1166"/>
      <c r="I45" s="1166"/>
      <c r="J45" s="1167"/>
      <c r="K45" s="59">
        <v>5062</v>
      </c>
      <c r="L45" s="60">
        <v>5024</v>
      </c>
      <c r="M45" s="60">
        <v>5129</v>
      </c>
      <c r="N45" s="60">
        <v>5378</v>
      </c>
      <c r="O45" s="61">
        <v>5474</v>
      </c>
      <c r="P45" s="48"/>
      <c r="Q45" s="48"/>
      <c r="R45" s="48"/>
      <c r="S45" s="48"/>
      <c r="T45" s="48"/>
      <c r="U45" s="48"/>
    </row>
    <row r="46" spans="1:21" ht="30.75" customHeight="1">
      <c r="A46" s="48"/>
      <c r="B46" s="1162"/>
      <c r="C46" s="1163"/>
      <c r="D46" s="62"/>
      <c r="E46" s="1154" t="s">
        <v>12</v>
      </c>
      <c r="F46" s="1154"/>
      <c r="G46" s="1154"/>
      <c r="H46" s="1154"/>
      <c r="I46" s="1154"/>
      <c r="J46" s="1155"/>
      <c r="K46" s="63" t="s">
        <v>477</v>
      </c>
      <c r="L46" s="64" t="s">
        <v>477</v>
      </c>
      <c r="M46" s="64" t="s">
        <v>477</v>
      </c>
      <c r="N46" s="64" t="s">
        <v>477</v>
      </c>
      <c r="O46" s="65" t="s">
        <v>477</v>
      </c>
      <c r="P46" s="48"/>
      <c r="Q46" s="48"/>
      <c r="R46" s="48"/>
      <c r="S46" s="48"/>
      <c r="T46" s="48"/>
      <c r="U46" s="48"/>
    </row>
    <row r="47" spans="1:21" ht="30.75" customHeight="1">
      <c r="A47" s="48"/>
      <c r="B47" s="1162"/>
      <c r="C47" s="1163"/>
      <c r="D47" s="62"/>
      <c r="E47" s="1154" t="s">
        <v>13</v>
      </c>
      <c r="F47" s="1154"/>
      <c r="G47" s="1154"/>
      <c r="H47" s="1154"/>
      <c r="I47" s="1154"/>
      <c r="J47" s="1155"/>
      <c r="K47" s="63" t="s">
        <v>477</v>
      </c>
      <c r="L47" s="64" t="s">
        <v>477</v>
      </c>
      <c r="M47" s="64" t="s">
        <v>477</v>
      </c>
      <c r="N47" s="64" t="s">
        <v>477</v>
      </c>
      <c r="O47" s="65" t="s">
        <v>477</v>
      </c>
      <c r="P47" s="48"/>
      <c r="Q47" s="48"/>
      <c r="R47" s="48"/>
      <c r="S47" s="48"/>
      <c r="T47" s="48"/>
      <c r="U47" s="48"/>
    </row>
    <row r="48" spans="1:21" ht="30.75" customHeight="1">
      <c r="A48" s="48"/>
      <c r="B48" s="1162"/>
      <c r="C48" s="1163"/>
      <c r="D48" s="62"/>
      <c r="E48" s="1154" t="s">
        <v>14</v>
      </c>
      <c r="F48" s="1154"/>
      <c r="G48" s="1154"/>
      <c r="H48" s="1154"/>
      <c r="I48" s="1154"/>
      <c r="J48" s="1155"/>
      <c r="K48" s="63">
        <v>1808</v>
      </c>
      <c r="L48" s="64">
        <v>1630</v>
      </c>
      <c r="M48" s="64">
        <v>1502</v>
      </c>
      <c r="N48" s="64">
        <v>1518</v>
      </c>
      <c r="O48" s="65">
        <v>1675</v>
      </c>
      <c r="P48" s="48"/>
      <c r="Q48" s="48"/>
      <c r="R48" s="48"/>
      <c r="S48" s="48"/>
      <c r="T48" s="48"/>
      <c r="U48" s="48"/>
    </row>
    <row r="49" spans="1:21" ht="30.75" customHeight="1">
      <c r="A49" s="48"/>
      <c r="B49" s="1162"/>
      <c r="C49" s="1163"/>
      <c r="D49" s="62"/>
      <c r="E49" s="1154" t="s">
        <v>15</v>
      </c>
      <c r="F49" s="1154"/>
      <c r="G49" s="1154"/>
      <c r="H49" s="1154"/>
      <c r="I49" s="1154"/>
      <c r="J49" s="1155"/>
      <c r="K49" s="63">
        <v>551</v>
      </c>
      <c r="L49" s="64">
        <v>405</v>
      </c>
      <c r="M49" s="64">
        <v>312</v>
      </c>
      <c r="N49" s="64">
        <v>313</v>
      </c>
      <c r="O49" s="65">
        <v>279</v>
      </c>
      <c r="P49" s="48"/>
      <c r="Q49" s="48"/>
      <c r="R49" s="48"/>
      <c r="S49" s="48"/>
      <c r="T49" s="48"/>
      <c r="U49" s="48"/>
    </row>
    <row r="50" spans="1:21" ht="30.75" customHeight="1">
      <c r="A50" s="48"/>
      <c r="B50" s="1162"/>
      <c r="C50" s="1163"/>
      <c r="D50" s="62"/>
      <c r="E50" s="1154" t="s">
        <v>16</v>
      </c>
      <c r="F50" s="1154"/>
      <c r="G50" s="1154"/>
      <c r="H50" s="1154"/>
      <c r="I50" s="1154"/>
      <c r="J50" s="1155"/>
      <c r="K50" s="63">
        <v>109</v>
      </c>
      <c r="L50" s="64">
        <v>323</v>
      </c>
      <c r="M50" s="64">
        <v>274</v>
      </c>
      <c r="N50" s="64">
        <v>98</v>
      </c>
      <c r="O50" s="65">
        <v>57</v>
      </c>
      <c r="P50" s="48"/>
      <c r="Q50" s="48"/>
      <c r="R50" s="48"/>
      <c r="S50" s="48"/>
      <c r="T50" s="48"/>
      <c r="U50" s="48"/>
    </row>
    <row r="51" spans="1:21" ht="30.75" customHeight="1">
      <c r="A51" s="48"/>
      <c r="B51" s="1164"/>
      <c r="C51" s="1165"/>
      <c r="D51" s="66"/>
      <c r="E51" s="1154" t="s">
        <v>17</v>
      </c>
      <c r="F51" s="1154"/>
      <c r="G51" s="1154"/>
      <c r="H51" s="1154"/>
      <c r="I51" s="1154"/>
      <c r="J51" s="1155"/>
      <c r="K51" s="63" t="s">
        <v>477</v>
      </c>
      <c r="L51" s="64">
        <v>0</v>
      </c>
      <c r="M51" s="64" t="s">
        <v>477</v>
      </c>
      <c r="N51" s="64">
        <v>0</v>
      </c>
      <c r="O51" s="65" t="s">
        <v>477</v>
      </c>
      <c r="P51" s="48"/>
      <c r="Q51" s="48"/>
      <c r="R51" s="48"/>
      <c r="S51" s="48"/>
      <c r="T51" s="48"/>
      <c r="U51" s="48"/>
    </row>
    <row r="52" spans="1:21" ht="30.75" customHeight="1">
      <c r="A52" s="48"/>
      <c r="B52" s="1152" t="s">
        <v>18</v>
      </c>
      <c r="C52" s="1153"/>
      <c r="D52" s="66"/>
      <c r="E52" s="1154" t="s">
        <v>19</v>
      </c>
      <c r="F52" s="1154"/>
      <c r="G52" s="1154"/>
      <c r="H52" s="1154"/>
      <c r="I52" s="1154"/>
      <c r="J52" s="1155"/>
      <c r="K52" s="63">
        <v>6447</v>
      </c>
      <c r="L52" s="64">
        <v>6208</v>
      </c>
      <c r="M52" s="64">
        <v>6324</v>
      </c>
      <c r="N52" s="64">
        <v>6629</v>
      </c>
      <c r="O52" s="65">
        <v>6886</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1083</v>
      </c>
      <c r="L53" s="69">
        <v>1174</v>
      </c>
      <c r="M53" s="69">
        <v>893</v>
      </c>
      <c r="N53" s="69">
        <v>678</v>
      </c>
      <c r="O53" s="70">
        <v>599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40" zoomScaleSheetLayoutView="100" workbookViewId="0">
      <selection activeCell="L43" sqref="L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8" t="s">
        <v>23</v>
      </c>
      <c r="C41" s="1169"/>
      <c r="D41" s="81"/>
      <c r="E41" s="1174" t="s">
        <v>24</v>
      </c>
      <c r="F41" s="1174"/>
      <c r="G41" s="1174"/>
      <c r="H41" s="1175"/>
      <c r="I41" s="82">
        <v>41023</v>
      </c>
      <c r="J41" s="83">
        <v>42842</v>
      </c>
      <c r="K41" s="83">
        <v>44351</v>
      </c>
      <c r="L41" s="83">
        <v>45154</v>
      </c>
      <c r="M41" s="84">
        <v>45760</v>
      </c>
    </row>
    <row r="42" spans="2:13" ht="27.75" customHeight="1">
      <c r="B42" s="1170"/>
      <c r="C42" s="1171"/>
      <c r="D42" s="85"/>
      <c r="E42" s="1176" t="s">
        <v>25</v>
      </c>
      <c r="F42" s="1176"/>
      <c r="G42" s="1176"/>
      <c r="H42" s="1177"/>
      <c r="I42" s="86">
        <v>2393</v>
      </c>
      <c r="J42" s="87">
        <v>2175</v>
      </c>
      <c r="K42" s="87">
        <v>1859</v>
      </c>
      <c r="L42" s="87">
        <v>1812</v>
      </c>
      <c r="M42" s="88">
        <v>1856</v>
      </c>
    </row>
    <row r="43" spans="2:13" ht="27.75" customHeight="1">
      <c r="B43" s="1170"/>
      <c r="C43" s="1171"/>
      <c r="D43" s="85"/>
      <c r="E43" s="1176" t="s">
        <v>26</v>
      </c>
      <c r="F43" s="1176"/>
      <c r="G43" s="1176"/>
      <c r="H43" s="1177"/>
      <c r="I43" s="86">
        <v>24003</v>
      </c>
      <c r="J43" s="87">
        <v>23225</v>
      </c>
      <c r="K43" s="87">
        <v>21918</v>
      </c>
      <c r="L43" s="87">
        <v>21258</v>
      </c>
      <c r="M43" s="88">
        <v>21174</v>
      </c>
    </row>
    <row r="44" spans="2:13" ht="27.75" customHeight="1">
      <c r="B44" s="1170"/>
      <c r="C44" s="1171"/>
      <c r="D44" s="85"/>
      <c r="E44" s="1176" t="s">
        <v>27</v>
      </c>
      <c r="F44" s="1176"/>
      <c r="G44" s="1176"/>
      <c r="H44" s="1177"/>
      <c r="I44" s="86">
        <v>2247</v>
      </c>
      <c r="J44" s="87">
        <v>1921</v>
      </c>
      <c r="K44" s="87">
        <v>1648</v>
      </c>
      <c r="L44" s="87">
        <v>1465</v>
      </c>
      <c r="M44" s="88">
        <v>1714</v>
      </c>
    </row>
    <row r="45" spans="2:13" ht="27.75" customHeight="1">
      <c r="B45" s="1170"/>
      <c r="C45" s="1171"/>
      <c r="D45" s="85"/>
      <c r="E45" s="1176" t="s">
        <v>28</v>
      </c>
      <c r="F45" s="1176"/>
      <c r="G45" s="1176"/>
      <c r="H45" s="1177"/>
      <c r="I45" s="86">
        <v>9668</v>
      </c>
      <c r="J45" s="87">
        <v>9505</v>
      </c>
      <c r="K45" s="87">
        <v>8560</v>
      </c>
      <c r="L45" s="87">
        <v>9097</v>
      </c>
      <c r="M45" s="88">
        <v>8678</v>
      </c>
    </row>
    <row r="46" spans="2:13" ht="27.75" customHeight="1">
      <c r="B46" s="1170"/>
      <c r="C46" s="1171"/>
      <c r="D46" s="85"/>
      <c r="E46" s="1176" t="s">
        <v>29</v>
      </c>
      <c r="F46" s="1176"/>
      <c r="G46" s="1176"/>
      <c r="H46" s="1177"/>
      <c r="I46" s="86">
        <v>575</v>
      </c>
      <c r="J46" s="87">
        <v>578</v>
      </c>
      <c r="K46" s="87">
        <v>613</v>
      </c>
      <c r="L46" s="87">
        <v>650</v>
      </c>
      <c r="M46" s="88">
        <v>642</v>
      </c>
    </row>
    <row r="47" spans="2:13" ht="27.75" customHeight="1">
      <c r="B47" s="1170"/>
      <c r="C47" s="1171"/>
      <c r="D47" s="85"/>
      <c r="E47" s="1176" t="s">
        <v>30</v>
      </c>
      <c r="F47" s="1176"/>
      <c r="G47" s="1176"/>
      <c r="H47" s="1177"/>
      <c r="I47" s="86" t="s">
        <v>477</v>
      </c>
      <c r="J47" s="87" t="s">
        <v>477</v>
      </c>
      <c r="K47" s="87" t="s">
        <v>477</v>
      </c>
      <c r="L47" s="87" t="s">
        <v>477</v>
      </c>
      <c r="M47" s="88" t="s">
        <v>477</v>
      </c>
    </row>
    <row r="48" spans="2:13" ht="27.75" customHeight="1">
      <c r="B48" s="1172"/>
      <c r="C48" s="1173"/>
      <c r="D48" s="85"/>
      <c r="E48" s="1176" t="s">
        <v>31</v>
      </c>
      <c r="F48" s="1176"/>
      <c r="G48" s="1176"/>
      <c r="H48" s="1177"/>
      <c r="I48" s="86" t="s">
        <v>477</v>
      </c>
      <c r="J48" s="87" t="s">
        <v>477</v>
      </c>
      <c r="K48" s="87" t="s">
        <v>477</v>
      </c>
      <c r="L48" s="87" t="s">
        <v>477</v>
      </c>
      <c r="M48" s="88" t="s">
        <v>477</v>
      </c>
    </row>
    <row r="49" spans="2:13" ht="27.75" customHeight="1">
      <c r="B49" s="1178" t="s">
        <v>32</v>
      </c>
      <c r="C49" s="1179"/>
      <c r="D49" s="89"/>
      <c r="E49" s="1176" t="s">
        <v>33</v>
      </c>
      <c r="F49" s="1176"/>
      <c r="G49" s="1176"/>
      <c r="H49" s="1177"/>
      <c r="I49" s="86">
        <v>9627</v>
      </c>
      <c r="J49" s="87">
        <v>10123</v>
      </c>
      <c r="K49" s="87">
        <v>9425</v>
      </c>
      <c r="L49" s="87">
        <v>10057</v>
      </c>
      <c r="M49" s="88">
        <v>10549</v>
      </c>
    </row>
    <row r="50" spans="2:13" ht="27.75" customHeight="1">
      <c r="B50" s="1170"/>
      <c r="C50" s="1171"/>
      <c r="D50" s="85"/>
      <c r="E50" s="1176" t="s">
        <v>34</v>
      </c>
      <c r="F50" s="1176"/>
      <c r="G50" s="1176"/>
      <c r="H50" s="1177"/>
      <c r="I50" s="86">
        <v>16686</v>
      </c>
      <c r="J50" s="87">
        <v>16195</v>
      </c>
      <c r="K50" s="87">
        <v>15921</v>
      </c>
      <c r="L50" s="87">
        <v>15055</v>
      </c>
      <c r="M50" s="88">
        <v>15275</v>
      </c>
    </row>
    <row r="51" spans="2:13" ht="27.75" customHeight="1">
      <c r="B51" s="1172"/>
      <c r="C51" s="1173"/>
      <c r="D51" s="85"/>
      <c r="E51" s="1176" t="s">
        <v>35</v>
      </c>
      <c r="F51" s="1176"/>
      <c r="G51" s="1176"/>
      <c r="H51" s="1177"/>
      <c r="I51" s="86">
        <v>53803</v>
      </c>
      <c r="J51" s="87">
        <v>55800</v>
      </c>
      <c r="K51" s="87">
        <v>58778</v>
      </c>
      <c r="L51" s="87">
        <v>61356</v>
      </c>
      <c r="M51" s="88">
        <v>63756</v>
      </c>
    </row>
    <row r="52" spans="2:13" ht="27.75" customHeight="1" thickBot="1">
      <c r="B52" s="1180" t="s">
        <v>36</v>
      </c>
      <c r="C52" s="1181"/>
      <c r="D52" s="90"/>
      <c r="E52" s="1182" t="s">
        <v>37</v>
      </c>
      <c r="F52" s="1182"/>
      <c r="G52" s="1182"/>
      <c r="H52" s="1183"/>
      <c r="I52" s="91">
        <v>-207</v>
      </c>
      <c r="J52" s="92">
        <v>-1874</v>
      </c>
      <c r="K52" s="92">
        <v>-5175</v>
      </c>
      <c r="L52" s="92">
        <v>-7031</v>
      </c>
      <c r="M52" s="93">
        <v>-9755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43604</v>
      </c>
      <c r="E3" s="116"/>
      <c r="F3" s="117">
        <v>37688</v>
      </c>
      <c r="G3" s="118"/>
      <c r="H3" s="119"/>
    </row>
    <row r="4" spans="1:8">
      <c r="A4" s="120"/>
      <c r="B4" s="121"/>
      <c r="C4" s="122"/>
      <c r="D4" s="123">
        <v>23903</v>
      </c>
      <c r="E4" s="124"/>
      <c r="F4" s="125">
        <v>22661</v>
      </c>
      <c r="G4" s="126"/>
      <c r="H4" s="127"/>
    </row>
    <row r="5" spans="1:8">
      <c r="A5" s="108" t="s">
        <v>510</v>
      </c>
      <c r="B5" s="113"/>
      <c r="C5" s="114"/>
      <c r="D5" s="115">
        <v>40400</v>
      </c>
      <c r="E5" s="116"/>
      <c r="F5" s="117">
        <v>38606</v>
      </c>
      <c r="G5" s="118"/>
      <c r="H5" s="119"/>
    </row>
    <row r="6" spans="1:8">
      <c r="A6" s="120"/>
      <c r="B6" s="121"/>
      <c r="C6" s="122"/>
      <c r="D6" s="123">
        <v>16269</v>
      </c>
      <c r="E6" s="124"/>
      <c r="F6" s="125">
        <v>22435</v>
      </c>
      <c r="G6" s="126"/>
      <c r="H6" s="127"/>
    </row>
    <row r="7" spans="1:8">
      <c r="A7" s="108" t="s">
        <v>511</v>
      </c>
      <c r="B7" s="113"/>
      <c r="C7" s="114"/>
      <c r="D7" s="115">
        <v>28080</v>
      </c>
      <c r="E7" s="116"/>
      <c r="F7" s="117">
        <v>39425</v>
      </c>
      <c r="G7" s="118"/>
      <c r="H7" s="119"/>
    </row>
    <row r="8" spans="1:8">
      <c r="A8" s="120"/>
      <c r="B8" s="121"/>
      <c r="C8" s="122"/>
      <c r="D8" s="123">
        <v>14552</v>
      </c>
      <c r="E8" s="124"/>
      <c r="F8" s="125">
        <v>22414</v>
      </c>
      <c r="G8" s="126"/>
      <c r="H8" s="127"/>
    </row>
    <row r="9" spans="1:8">
      <c r="A9" s="108" t="s">
        <v>512</v>
      </c>
      <c r="B9" s="113"/>
      <c r="C9" s="114"/>
      <c r="D9" s="115">
        <v>30101</v>
      </c>
      <c r="E9" s="116"/>
      <c r="F9" s="117">
        <v>43141</v>
      </c>
      <c r="G9" s="118"/>
      <c r="H9" s="119"/>
    </row>
    <row r="10" spans="1:8">
      <c r="A10" s="120"/>
      <c r="B10" s="121"/>
      <c r="C10" s="122"/>
      <c r="D10" s="123">
        <v>15531</v>
      </c>
      <c r="E10" s="124"/>
      <c r="F10" s="125">
        <v>21887</v>
      </c>
      <c r="G10" s="126"/>
      <c r="H10" s="127"/>
    </row>
    <row r="11" spans="1:8">
      <c r="A11" s="108" t="s">
        <v>513</v>
      </c>
      <c r="B11" s="113"/>
      <c r="C11" s="114"/>
      <c r="D11" s="115">
        <v>24060</v>
      </c>
      <c r="E11" s="116"/>
      <c r="F11" s="117">
        <v>45117</v>
      </c>
      <c r="G11" s="118"/>
      <c r="H11" s="119"/>
    </row>
    <row r="12" spans="1:8">
      <c r="A12" s="120"/>
      <c r="B12" s="121"/>
      <c r="C12" s="128"/>
      <c r="D12" s="123">
        <v>14024</v>
      </c>
      <c r="E12" s="124"/>
      <c r="F12" s="125">
        <v>25589</v>
      </c>
      <c r="G12" s="126"/>
      <c r="H12" s="127"/>
    </row>
    <row r="13" spans="1:8">
      <c r="A13" s="108"/>
      <c r="B13" s="113"/>
      <c r="C13" s="129"/>
      <c r="D13" s="130">
        <v>33249</v>
      </c>
      <c r="E13" s="131"/>
      <c r="F13" s="132">
        <v>40795</v>
      </c>
      <c r="G13" s="133"/>
      <c r="H13" s="119"/>
    </row>
    <row r="14" spans="1:8">
      <c r="A14" s="120"/>
      <c r="B14" s="121"/>
      <c r="C14" s="122"/>
      <c r="D14" s="123">
        <v>16856</v>
      </c>
      <c r="E14" s="124"/>
      <c r="F14" s="125">
        <v>22997</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1.1100000000000001</v>
      </c>
      <c r="C19" s="134">
        <f>ROUND(VALUE(SUBSTITUTE(実質収支比率等に係る経年分析!G$48,"▲","-")),2)</f>
        <v>1.08</v>
      </c>
      <c r="D19" s="134">
        <f>ROUND(VALUE(SUBSTITUTE(実質収支比率等に係る経年分析!H$48,"▲","-")),2)</f>
        <v>1.01</v>
      </c>
      <c r="E19" s="134">
        <f>ROUND(VALUE(SUBSTITUTE(実質収支比率等に係る経年分析!I$48,"▲","-")),2)</f>
        <v>0.91</v>
      </c>
      <c r="F19" s="134">
        <f>ROUND(VALUE(SUBSTITUTE(実質収支比率等に係る経年分析!J$48,"▲","-")),2)</f>
        <v>0.85</v>
      </c>
    </row>
    <row r="20" spans="1:11">
      <c r="A20" s="134" t="s">
        <v>42</v>
      </c>
      <c r="B20" s="134">
        <f>ROUND(VALUE(SUBSTITUTE(実質収支比率等に係る経年分析!F$47,"▲","-")),2)</f>
        <v>7</v>
      </c>
      <c r="C20" s="134">
        <f>ROUND(VALUE(SUBSTITUTE(実質収支比率等に係る経年分析!G$47,"▲","-")),2)</f>
        <v>8.75</v>
      </c>
      <c r="D20" s="134">
        <f>ROUND(VALUE(SUBSTITUTE(実質収支比率等に係る経年分析!H$47,"▲","-")),2)</f>
        <v>6.58</v>
      </c>
      <c r="E20" s="134">
        <f>ROUND(VALUE(SUBSTITUTE(実質収支比率等に係る経年分析!I$47,"▲","-")),2)</f>
        <v>7.16</v>
      </c>
      <c r="F20" s="134">
        <f>ROUND(VALUE(SUBSTITUTE(実質収支比率等に係る経年分析!J$47,"▲","-")),2)</f>
        <v>7.6</v>
      </c>
    </row>
    <row r="21" spans="1:11">
      <c r="A21" s="134" t="s">
        <v>43</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-2.23</v>
      </c>
      <c r="E21" s="134">
        <f>IF(ISNUMBER(VALUE(SUBSTITUTE(実質収支比率等に係る経年分析!I$49,"▲","-"))),ROUND(VALUE(SUBSTITUTE(実質収支比率等に係る経年分析!I$49,"▲","-")),2),NA())</f>
        <v>0.51</v>
      </c>
      <c r="F21" s="134">
        <f>IF(ISNUMBER(VALUE(SUBSTITUTE(実質収支比率等に係る経年分析!J$49,"▲","-"))),ROUND(VALUE(SUBSTITUTE(実質収支比率等に係る経年分析!J$49,"▲","-")),2),NA())</f>
        <v>0.39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飲料水供給施設事業特別会計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1.1100000000000001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6447</v>
      </c>
      <c r="E42" s="136"/>
      <c r="F42" s="136"/>
      <c r="G42" s="136">
        <f>'実質公債費比率（分子）の構造'!L$52</f>
        <v>6208</v>
      </c>
      <c r="H42" s="136"/>
      <c r="I42" s="136"/>
      <c r="J42" s="136">
        <f>'実質公債費比率（分子）の構造'!M$52</f>
        <v>6324</v>
      </c>
      <c r="K42" s="136"/>
      <c r="L42" s="136"/>
      <c r="M42" s="136">
        <f>'実質公債費比率（分子）の構造'!N$52</f>
        <v>6629</v>
      </c>
      <c r="N42" s="136"/>
      <c r="O42" s="136"/>
      <c r="P42" s="136">
        <f>'実質公債費比率（分子）の構造'!O$52</f>
        <v>6886</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109</v>
      </c>
      <c r="C44" s="136"/>
      <c r="D44" s="136"/>
      <c r="E44" s="136">
        <f>'実質公債費比率（分子）の構造'!L$50</f>
        <v>323</v>
      </c>
      <c r="F44" s="136"/>
      <c r="G44" s="136"/>
      <c r="H44" s="136">
        <f>'実質公債費比率（分子）の構造'!M$50</f>
        <v>274</v>
      </c>
      <c r="I44" s="136"/>
      <c r="J44" s="136"/>
      <c r="K44" s="136">
        <f>'実質公債費比率（分子）の構造'!N$50</f>
        <v>98</v>
      </c>
      <c r="L44" s="136"/>
      <c r="M44" s="136"/>
      <c r="N44" s="136">
        <f>'実質公債費比率（分子）の構造'!O$50</f>
        <v>57</v>
      </c>
      <c r="O44" s="136"/>
      <c r="P44" s="136"/>
    </row>
    <row r="45" spans="1:16">
      <c r="A45" s="136" t="s">
        <v>53</v>
      </c>
      <c r="B45" s="136">
        <f>'実質公債費比率（分子）の構造'!K$49</f>
        <v>551</v>
      </c>
      <c r="C45" s="136"/>
      <c r="D45" s="136"/>
      <c r="E45" s="136">
        <f>'実質公債費比率（分子）の構造'!L$49</f>
        <v>405</v>
      </c>
      <c r="F45" s="136"/>
      <c r="G45" s="136"/>
      <c r="H45" s="136">
        <f>'実質公債費比率（分子）の構造'!M$49</f>
        <v>312</v>
      </c>
      <c r="I45" s="136"/>
      <c r="J45" s="136"/>
      <c r="K45" s="136">
        <f>'実質公債費比率（分子）の構造'!N$49</f>
        <v>313</v>
      </c>
      <c r="L45" s="136"/>
      <c r="M45" s="136"/>
      <c r="N45" s="136">
        <f>'実質公債費比率（分子）の構造'!O$49</f>
        <v>279</v>
      </c>
      <c r="O45" s="136"/>
      <c r="P45" s="136"/>
    </row>
    <row r="46" spans="1:16">
      <c r="A46" s="136" t="s">
        <v>54</v>
      </c>
      <c r="B46" s="136">
        <f>'実質公債費比率（分子）の構造'!K$48</f>
        <v>1808</v>
      </c>
      <c r="C46" s="136"/>
      <c r="D46" s="136"/>
      <c r="E46" s="136">
        <f>'実質公債費比率（分子）の構造'!L$48</f>
        <v>1630</v>
      </c>
      <c r="F46" s="136"/>
      <c r="G46" s="136"/>
      <c r="H46" s="136">
        <f>'実質公債費比率（分子）の構造'!M$48</f>
        <v>1502</v>
      </c>
      <c r="I46" s="136"/>
      <c r="J46" s="136"/>
      <c r="K46" s="136">
        <f>'実質公債費比率（分子）の構造'!N$48</f>
        <v>1518</v>
      </c>
      <c r="L46" s="136"/>
      <c r="M46" s="136"/>
      <c r="N46" s="136">
        <f>'実質公債費比率（分子）の構造'!O$48</f>
        <v>1675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5062</v>
      </c>
      <c r="C49" s="136"/>
      <c r="D49" s="136"/>
      <c r="E49" s="136">
        <f>'実質公債費比率（分子）の構造'!L$45</f>
        <v>5024</v>
      </c>
      <c r="F49" s="136"/>
      <c r="G49" s="136"/>
      <c r="H49" s="136">
        <f>'実質公債費比率（分子）の構造'!M$45</f>
        <v>5129</v>
      </c>
      <c r="I49" s="136"/>
      <c r="J49" s="136"/>
      <c r="K49" s="136">
        <f>'実質公債費比率（分子）の構造'!N$45</f>
        <v>5378</v>
      </c>
      <c r="L49" s="136"/>
      <c r="M49" s="136"/>
      <c r="N49" s="136">
        <f>'実質公債費比率（分子）の構造'!O$45</f>
        <v>5474</v>
      </c>
      <c r="O49" s="136"/>
      <c r="P49" s="136"/>
    </row>
    <row r="50" spans="1:16">
      <c r="A50" s="136" t="s">
        <v>58</v>
      </c>
      <c r="B50" s="136" t="e">
        <f>NA()</f>
        <v>#N/A</v>
      </c>
      <c r="C50" s="136">
        <f>IF(ISNUMBER('実質公債費比率（分子）の構造'!K$53),'実質公債費比率（分子）の構造'!K$53,NA())</f>
        <v>1083</v>
      </c>
      <c r="D50" s="136" t="e">
        <f>NA()</f>
        <v>#N/A</v>
      </c>
      <c r="E50" s="136" t="e">
        <f>NA()</f>
        <v>#N/A</v>
      </c>
      <c r="F50" s="136">
        <f>IF(ISNUMBER('実質公債費比率（分子）の構造'!L$53),'実質公債費比率（分子）の構造'!L$53,NA())</f>
        <v>1174</v>
      </c>
      <c r="G50" s="136" t="e">
        <f>NA()</f>
        <v>#N/A</v>
      </c>
      <c r="H50" s="136" t="e">
        <f>NA()</f>
        <v>#N/A</v>
      </c>
      <c r="I50" s="136">
        <f>IF(ISNUMBER('実質公債費比率（分子）の構造'!M$53),'実質公債費比率（分子）の構造'!M$53,NA())</f>
        <v>893</v>
      </c>
      <c r="J50" s="136" t="e">
        <f>NA()</f>
        <v>#N/A</v>
      </c>
      <c r="K50" s="136" t="e">
        <f>NA()</f>
        <v>#N/A</v>
      </c>
      <c r="L50" s="136">
        <f>IF(ISNUMBER('実質公債費比率（分子）の構造'!N$53),'実質公債費比率（分子）の構造'!N$53,NA())</f>
        <v>678</v>
      </c>
      <c r="M50" s="136" t="e">
        <f>NA()</f>
        <v>#N/A</v>
      </c>
      <c r="N50" s="136" t="e">
        <f>NA()</f>
        <v>#N/A</v>
      </c>
      <c r="O50" s="136">
        <f>IF(ISNUMBER('実質公債費比率（分子）の構造'!O$53),'実質公債費比率（分子）の構造'!O$53,NA())</f>
        <v>599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53803</v>
      </c>
      <c r="E56" s="135"/>
      <c r="F56" s="135"/>
      <c r="G56" s="135">
        <f>'将来負担比率（分子）の構造'!J$51</f>
        <v>55800</v>
      </c>
      <c r="H56" s="135"/>
      <c r="I56" s="135"/>
      <c r="J56" s="135">
        <f>'将来負担比率（分子）の構造'!K$51</f>
        <v>58778</v>
      </c>
      <c r="K56" s="135"/>
      <c r="L56" s="135"/>
      <c r="M56" s="135">
        <f>'将来負担比率（分子）の構造'!L$51</f>
        <v>61356</v>
      </c>
      <c r="N56" s="135"/>
      <c r="O56" s="135"/>
      <c r="P56" s="135">
        <f>'将来負担比率（分子）の構造'!M$51</f>
        <v>63756</v>
      </c>
    </row>
    <row r="57" spans="1:16">
      <c r="A57" s="135" t="s">
        <v>34</v>
      </c>
      <c r="B57" s="135"/>
      <c r="C57" s="135"/>
      <c r="D57" s="135">
        <f>'将来負担比率（分子）の構造'!I$50</f>
        <v>16686</v>
      </c>
      <c r="E57" s="135"/>
      <c r="F57" s="135"/>
      <c r="G57" s="135">
        <f>'将来負担比率（分子）の構造'!J$50</f>
        <v>16195</v>
      </c>
      <c r="H57" s="135"/>
      <c r="I57" s="135"/>
      <c r="J57" s="135">
        <f>'将来負担比率（分子）の構造'!K$50</f>
        <v>15921</v>
      </c>
      <c r="K57" s="135"/>
      <c r="L57" s="135"/>
      <c r="M57" s="135">
        <f>'将来負担比率（分子）の構造'!L$50</f>
        <v>15055</v>
      </c>
      <c r="N57" s="135"/>
      <c r="O57" s="135"/>
      <c r="P57" s="135">
        <f>'将来負担比率（分子）の構造'!M$50</f>
        <v>15275</v>
      </c>
    </row>
    <row r="58" spans="1:16">
      <c r="A58" s="135" t="s">
        <v>33</v>
      </c>
      <c r="B58" s="135"/>
      <c r="C58" s="135"/>
      <c r="D58" s="135">
        <f>'将来負担比率（分子）の構造'!I$49</f>
        <v>9627</v>
      </c>
      <c r="E58" s="135"/>
      <c r="F58" s="135"/>
      <c r="G58" s="135">
        <f>'将来負担比率（分子）の構造'!J$49</f>
        <v>10123</v>
      </c>
      <c r="H58" s="135"/>
      <c r="I58" s="135"/>
      <c r="J58" s="135">
        <f>'将来負担比率（分子）の構造'!K$49</f>
        <v>9425</v>
      </c>
      <c r="K58" s="135"/>
      <c r="L58" s="135"/>
      <c r="M58" s="135">
        <f>'将来負担比率（分子）の構造'!L$49</f>
        <v>10057</v>
      </c>
      <c r="N58" s="135"/>
      <c r="O58" s="135"/>
      <c r="P58" s="135">
        <f>'将来負担比率（分子）の構造'!M$49</f>
        <v>10549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575</v>
      </c>
      <c r="C61" s="135"/>
      <c r="D61" s="135"/>
      <c r="E61" s="135">
        <f>'将来負担比率（分子）の構造'!J$46</f>
        <v>578</v>
      </c>
      <c r="F61" s="135"/>
      <c r="G61" s="135"/>
      <c r="H61" s="135">
        <f>'将来負担比率（分子）の構造'!K$46</f>
        <v>613</v>
      </c>
      <c r="I61" s="135"/>
      <c r="J61" s="135"/>
      <c r="K61" s="135">
        <f>'将来負担比率（分子）の構造'!L$46</f>
        <v>650</v>
      </c>
      <c r="L61" s="135"/>
      <c r="M61" s="135"/>
      <c r="N61" s="135">
        <f>'将来負担比率（分子）の構造'!M$46</f>
        <v>642</v>
      </c>
      <c r="O61" s="135"/>
      <c r="P61" s="135"/>
    </row>
    <row r="62" spans="1:16">
      <c r="A62" s="135" t="s">
        <v>28</v>
      </c>
      <c r="B62" s="135">
        <f>'将来負担比率（分子）の構造'!I$45</f>
        <v>9668</v>
      </c>
      <c r="C62" s="135"/>
      <c r="D62" s="135"/>
      <c r="E62" s="135">
        <f>'将来負担比率（分子）の構造'!J$45</f>
        <v>9505</v>
      </c>
      <c r="F62" s="135"/>
      <c r="G62" s="135"/>
      <c r="H62" s="135">
        <f>'将来負担比率（分子）の構造'!K$45</f>
        <v>8560</v>
      </c>
      <c r="I62" s="135"/>
      <c r="J62" s="135"/>
      <c r="K62" s="135">
        <f>'将来負担比率（分子）の構造'!L$45</f>
        <v>9097</v>
      </c>
      <c r="L62" s="135"/>
      <c r="M62" s="135"/>
      <c r="N62" s="135">
        <f>'将来負担比率（分子）の構造'!M$45</f>
        <v>8678</v>
      </c>
      <c r="O62" s="135"/>
      <c r="P62" s="135"/>
    </row>
    <row r="63" spans="1:16">
      <c r="A63" s="135" t="s">
        <v>27</v>
      </c>
      <c r="B63" s="135">
        <f>'将来負担比率（分子）の構造'!I$44</f>
        <v>2247</v>
      </c>
      <c r="C63" s="135"/>
      <c r="D63" s="135"/>
      <c r="E63" s="135">
        <f>'将来負担比率（分子）の構造'!J$44</f>
        <v>1921</v>
      </c>
      <c r="F63" s="135"/>
      <c r="G63" s="135"/>
      <c r="H63" s="135">
        <f>'将来負担比率（分子）の構造'!K$44</f>
        <v>1648</v>
      </c>
      <c r="I63" s="135"/>
      <c r="J63" s="135"/>
      <c r="K63" s="135">
        <f>'将来負担比率（分子）の構造'!L$44</f>
        <v>1465</v>
      </c>
      <c r="L63" s="135"/>
      <c r="M63" s="135"/>
      <c r="N63" s="135">
        <f>'将来負担比率（分子）の構造'!M$44</f>
        <v>1714</v>
      </c>
      <c r="O63" s="135"/>
      <c r="P63" s="135"/>
    </row>
    <row r="64" spans="1:16">
      <c r="A64" s="135" t="s">
        <v>26</v>
      </c>
      <c r="B64" s="135">
        <f>'将来負担比率（分子）の構造'!I$43</f>
        <v>24003</v>
      </c>
      <c r="C64" s="135"/>
      <c r="D64" s="135"/>
      <c r="E64" s="135">
        <f>'将来負担比率（分子）の構造'!J$43</f>
        <v>23225</v>
      </c>
      <c r="F64" s="135"/>
      <c r="G64" s="135"/>
      <c r="H64" s="135">
        <f>'将来負担比率（分子）の構造'!K$43</f>
        <v>21918</v>
      </c>
      <c r="I64" s="135"/>
      <c r="J64" s="135"/>
      <c r="K64" s="135">
        <f>'将来負担比率（分子）の構造'!L$43</f>
        <v>21258</v>
      </c>
      <c r="L64" s="135"/>
      <c r="M64" s="135"/>
      <c r="N64" s="135">
        <f>'将来負担比率（分子）の構造'!M$43</f>
        <v>21174</v>
      </c>
      <c r="O64" s="135"/>
      <c r="P64" s="135"/>
    </row>
    <row r="65" spans="1:16">
      <c r="A65" s="135" t="s">
        <v>25</v>
      </c>
      <c r="B65" s="135">
        <f>'将来負担比率（分子）の構造'!I$42</f>
        <v>2393</v>
      </c>
      <c r="C65" s="135"/>
      <c r="D65" s="135"/>
      <c r="E65" s="135">
        <f>'将来負担比率（分子）の構造'!J$42</f>
        <v>2175</v>
      </c>
      <c r="F65" s="135"/>
      <c r="G65" s="135"/>
      <c r="H65" s="135">
        <f>'将来負担比率（分子）の構造'!K$42</f>
        <v>1859</v>
      </c>
      <c r="I65" s="135"/>
      <c r="J65" s="135"/>
      <c r="K65" s="135">
        <f>'将来負担比率（分子）の構造'!L$42</f>
        <v>1812</v>
      </c>
      <c r="L65" s="135"/>
      <c r="M65" s="135"/>
      <c r="N65" s="135">
        <f>'将来負担比率（分子）の構造'!M$42</f>
        <v>1856</v>
      </c>
      <c r="O65" s="135"/>
      <c r="P65" s="135"/>
    </row>
    <row r="66" spans="1:16">
      <c r="A66" s="135" t="s">
        <v>24</v>
      </c>
      <c r="B66" s="135">
        <f>'将来負担比率（分子）の構造'!I$41</f>
        <v>41023</v>
      </c>
      <c r="C66" s="135"/>
      <c r="D66" s="135"/>
      <c r="E66" s="135">
        <f>'将来負担比率（分子）の構造'!J$41</f>
        <v>42842</v>
      </c>
      <c r="F66" s="135"/>
      <c r="G66" s="135"/>
      <c r="H66" s="135">
        <f>'将来負担比率（分子）の構造'!K$41</f>
        <v>44351</v>
      </c>
      <c r="I66" s="135"/>
      <c r="J66" s="135"/>
      <c r="K66" s="135">
        <f>'将来負担比率（分子）の構造'!L$41</f>
        <v>45154</v>
      </c>
      <c r="L66" s="135"/>
      <c r="M66" s="135"/>
      <c r="N66" s="135">
        <f>'将来負担比率（分子）の構造'!M$41</f>
        <v>45760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setup</cp:lastModifiedBy>
  <cp:lastPrinted>2016-04-21T01:14:54Z</cp:lastPrinted>
  <dcterms:created xsi:type="dcterms:W3CDTF">2016-02-15T01:41:54Z</dcterms:created>
  <dcterms:modified xsi:type="dcterms:W3CDTF">2016-05-06T00:06:24Z</dcterms:modified>
</cp:coreProperties>
</file>