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15" windowWidth="15210" windowHeight="4215"/>
  </bookViews>
  <sheets>
    <sheet name="表紙" sheetId="4" r:id="rId1"/>
    <sheet name="使用方法" sheetId="5" r:id="rId2"/>
    <sheet name="P1" sheetId="1" r:id="rId3"/>
    <sheet name="P2" sheetId="2" r:id="rId4"/>
    <sheet name="P3" sheetId="7" r:id="rId5"/>
    <sheet name="P4 (修正)" sheetId="8" r:id="rId6"/>
  </sheets>
  <definedNames>
    <definedName name="_xlnm.Print_Area" localSheetId="2">'P1'!$A$1:$L$51</definedName>
    <definedName name="_xlnm.Print_Area" localSheetId="5">'P4 (修正)'!$A$1:$I$42</definedName>
    <definedName name="_xlnm.Print_Area" localSheetId="1">使用方法!#REF!</definedName>
    <definedName name="_xlnm.Print_Area" localSheetId="0">表紙!$A$1:$H$38</definedName>
  </definedNames>
  <calcPr calcId="145621"/>
</workbook>
</file>

<file path=xl/calcChain.xml><?xml version="1.0" encoding="utf-8"?>
<calcChain xmlns="http://schemas.openxmlformats.org/spreadsheetml/2006/main">
  <c r="D17" i="8" l="1"/>
  <c r="D16" i="8"/>
  <c r="G3" i="8"/>
  <c r="C3" i="8"/>
  <c r="G9" i="8"/>
  <c r="G8" i="8"/>
  <c r="G23" i="8" l="1"/>
  <c r="D23" i="8"/>
  <c r="D14" i="8"/>
  <c r="D13" i="8"/>
  <c r="F14" i="8"/>
  <c r="F13" i="8"/>
  <c r="M42" i="1" l="1"/>
  <c r="J42" i="1"/>
  <c r="D24" i="2"/>
  <c r="M41" i="1"/>
  <c r="J41" i="1"/>
  <c r="D23" i="2"/>
  <c r="M40" i="1"/>
  <c r="J40" i="1"/>
  <c r="D22" i="2"/>
  <c r="M39" i="1"/>
  <c r="J39" i="1"/>
  <c r="D21" i="2"/>
  <c r="M38" i="1"/>
  <c r="J38" i="1"/>
  <c r="D20" i="2"/>
  <c r="M37" i="1"/>
  <c r="J37" i="1"/>
  <c r="D19" i="2"/>
  <c r="M36" i="1"/>
  <c r="J36" i="1"/>
  <c r="D18" i="2"/>
  <c r="M35" i="1"/>
  <c r="J35" i="1"/>
  <c r="D17" i="2"/>
  <c r="M34" i="1"/>
  <c r="J34" i="1"/>
  <c r="D16" i="2"/>
  <c r="J33" i="1"/>
  <c r="D15" i="2"/>
  <c r="D25" i="2"/>
  <c r="N42" i="1"/>
  <c r="K42" i="1"/>
  <c r="N41" i="1"/>
  <c r="K41" i="1"/>
  <c r="N34" i="1"/>
  <c r="L33" i="1"/>
  <c r="N35" i="1"/>
  <c r="N36" i="1"/>
  <c r="N37" i="1"/>
  <c r="N38" i="1"/>
  <c r="N39" i="1"/>
  <c r="K39" i="1"/>
  <c r="N40" i="1"/>
  <c r="K40" i="1"/>
  <c r="I9" i="1"/>
  <c r="G26" i="2"/>
  <c r="H46" i="1"/>
  <c r="J46" i="1"/>
  <c r="O30" i="1"/>
  <c r="C29" i="1"/>
  <c r="I33" i="1"/>
  <c r="K33" i="1"/>
  <c r="L34" i="1"/>
  <c r="L35" i="1"/>
  <c r="L36" i="1"/>
  <c r="L37" i="1"/>
  <c r="L38" i="1"/>
  <c r="L39" i="1"/>
  <c r="L40" i="1"/>
  <c r="L41" i="1"/>
  <c r="L42" i="1"/>
  <c r="G27" i="2"/>
  <c r="E26" i="2"/>
  <c r="J43" i="1"/>
  <c r="E27" i="2"/>
  <c r="I27" i="2"/>
  <c r="I34" i="1"/>
  <c r="O33" i="1"/>
  <c r="O34" i="1"/>
  <c r="L43" i="1"/>
  <c r="L46" i="1"/>
  <c r="H48" i="1"/>
  <c r="F4" i="2"/>
  <c r="F15" i="2"/>
  <c r="H15" i="2"/>
  <c r="F6" i="2"/>
  <c r="F17" i="2"/>
  <c r="H17" i="2"/>
  <c r="F8" i="2"/>
  <c r="F19" i="2"/>
  <c r="H19" i="2"/>
  <c r="F10" i="2"/>
  <c r="F21" i="2"/>
  <c r="H21" i="2"/>
  <c r="F12" i="2"/>
  <c r="F23" i="2"/>
  <c r="H23" i="2"/>
  <c r="I10" i="1"/>
  <c r="F5" i="2"/>
  <c r="F16" i="2"/>
  <c r="H16" i="2"/>
  <c r="F7" i="2"/>
  <c r="F18" i="2"/>
  <c r="H18" i="2"/>
  <c r="F9" i="2"/>
  <c r="F20" i="2"/>
  <c r="H20" i="2"/>
  <c r="F11" i="2"/>
  <c r="F22" i="2"/>
  <c r="H22" i="2"/>
  <c r="F13" i="2"/>
  <c r="F24" i="2"/>
  <c r="H24" i="2"/>
  <c r="I35" i="1"/>
  <c r="K34" i="1"/>
  <c r="C34" i="1"/>
  <c r="C35" i="1"/>
  <c r="I36" i="1"/>
  <c r="K35" i="1"/>
  <c r="O35" i="1"/>
  <c r="I37" i="1"/>
  <c r="K36" i="1"/>
  <c r="O36" i="1"/>
  <c r="O37" i="1"/>
  <c r="I38" i="1"/>
  <c r="K37" i="1"/>
  <c r="I39" i="1"/>
  <c r="K38" i="1"/>
  <c r="O38" i="1"/>
  <c r="O32" i="1"/>
  <c r="C30" i="1"/>
  <c r="I40" i="1"/>
  <c r="O39" i="1"/>
  <c r="K43" i="1"/>
  <c r="C31" i="1"/>
  <c r="I41" i="1"/>
  <c r="O40" i="1"/>
  <c r="C39" i="1"/>
  <c r="C38" i="1"/>
  <c r="D42" i="1"/>
  <c r="I42" i="1"/>
  <c r="O42" i="1"/>
  <c r="O41" i="1"/>
  <c r="D43" i="1"/>
  <c r="G50" i="1"/>
  <c r="E28" i="2"/>
  <c r="E29" i="2"/>
  <c r="I26" i="2"/>
  <c r="I29" i="2"/>
  <c r="D6" i="2"/>
  <c r="H6" i="2"/>
  <c r="D10" i="2"/>
  <c r="H10" i="2"/>
  <c r="D4" i="2"/>
  <c r="D13" i="2"/>
  <c r="H13" i="2"/>
  <c r="D11" i="2"/>
  <c r="H11" i="2"/>
  <c r="D12" i="2"/>
  <c r="H12" i="2"/>
  <c r="D7" i="2"/>
  <c r="H7" i="2"/>
  <c r="D5" i="2"/>
  <c r="H5" i="2"/>
  <c r="D8" i="2"/>
  <c r="H8" i="2"/>
  <c r="D9" i="2"/>
  <c r="H9" i="2"/>
  <c r="H25" i="2"/>
  <c r="F25" i="2"/>
  <c r="H4" i="2"/>
  <c r="H14" i="2"/>
  <c r="D14" i="2"/>
  <c r="D29" i="2"/>
  <c r="F14" i="2"/>
  <c r="H29" i="2"/>
  <c r="H15" i="8" l="1"/>
  <c r="D15" i="8"/>
  <c r="D39" i="8"/>
  <c r="G39" i="8"/>
  <c r="D41" i="8" s="1"/>
  <c r="G22" i="8" l="1"/>
  <c r="D22" i="8"/>
  <c r="D20" i="8"/>
  <c r="D19" i="8"/>
  <c r="K22" i="8" l="1"/>
  <c r="D25" i="8"/>
  <c r="H30" i="8"/>
  <c r="H32" i="8" s="1"/>
  <c r="E35" i="8" s="1"/>
  <c r="H29" i="8"/>
  <c r="H31" i="8" s="1"/>
  <c r="E34" i="8" s="1"/>
  <c r="D29" i="8" l="1"/>
  <c r="D30" i="8"/>
</calcChain>
</file>

<file path=xl/sharedStrings.xml><?xml version="1.0" encoding="utf-8"?>
<sst xmlns="http://schemas.openxmlformats.org/spreadsheetml/2006/main" count="195" uniqueCount="173">
  <si>
    <t>m</t>
    <phoneticPr fontId="3"/>
  </si>
  <si>
    <t>基本単位体積重量</t>
    <rPh sb="0" eb="2">
      <t>キホン</t>
    </rPh>
    <rPh sb="2" eb="4">
      <t>タンイ</t>
    </rPh>
    <rPh sb="4" eb="6">
      <t>タイセキ</t>
    </rPh>
    <rPh sb="6" eb="8">
      <t>ジュウリョウ</t>
    </rPh>
    <phoneticPr fontId="3"/>
  </si>
  <si>
    <t>γ0=</t>
    <phoneticPr fontId="3"/>
  </si>
  <si>
    <t>水の単位体積</t>
    <rPh sb="0" eb="1">
      <t>ミズ</t>
    </rPh>
    <rPh sb="2" eb="4">
      <t>タンイ</t>
    </rPh>
    <rPh sb="4" eb="6">
      <t>タイセキ</t>
    </rPh>
    <phoneticPr fontId="3"/>
  </si>
  <si>
    <t>γs=</t>
    <phoneticPr fontId="3"/>
  </si>
  <si>
    <t>γｋ=</t>
    <phoneticPr fontId="3"/>
  </si>
  <si>
    <t>中詰石の単位体積</t>
    <rPh sb="0" eb="1">
      <t>ナカ</t>
    </rPh>
    <rPh sb="1" eb="2">
      <t>ヅメ</t>
    </rPh>
    <rPh sb="2" eb="3">
      <t>イシ</t>
    </rPh>
    <rPh sb="4" eb="6">
      <t>タンイ</t>
    </rPh>
    <rPh sb="6" eb="8">
      <t>タイセキ</t>
    </rPh>
    <phoneticPr fontId="3"/>
  </si>
  <si>
    <t>木材の単位体積</t>
    <rPh sb="0" eb="2">
      <t>モクザイ</t>
    </rPh>
    <rPh sb="3" eb="5">
      <t>タンイ</t>
    </rPh>
    <rPh sb="5" eb="7">
      <t>タイセキ</t>
    </rPh>
    <phoneticPr fontId="3"/>
  </si>
  <si>
    <t>=</t>
    <phoneticPr fontId="3"/>
  </si>
  <si>
    <t>堤体本体部体積</t>
    <rPh sb="0" eb="1">
      <t>テイ</t>
    </rPh>
    <rPh sb="1" eb="2">
      <t>タイ</t>
    </rPh>
    <rPh sb="2" eb="4">
      <t>ホンタイ</t>
    </rPh>
    <rPh sb="4" eb="5">
      <t>ブ</t>
    </rPh>
    <rPh sb="5" eb="7">
      <t>タイセキ</t>
    </rPh>
    <phoneticPr fontId="3"/>
  </si>
  <si>
    <t>木材体積</t>
    <rPh sb="0" eb="2">
      <t>モクザイ</t>
    </rPh>
    <rPh sb="2" eb="4">
      <t>タイセキ</t>
    </rPh>
    <phoneticPr fontId="3"/>
  </si>
  <si>
    <t>中詰石体積</t>
    <rPh sb="0" eb="1">
      <t>ナカ</t>
    </rPh>
    <rPh sb="1" eb="2">
      <t>ヅメ</t>
    </rPh>
    <rPh sb="2" eb="3">
      <t>イシ</t>
    </rPh>
    <rPh sb="3" eb="5">
      <t>タイセキ</t>
    </rPh>
    <phoneticPr fontId="3"/>
  </si>
  <si>
    <t>木材＝</t>
    <rPh sb="0" eb="2">
      <t>モクザイ</t>
    </rPh>
    <phoneticPr fontId="3"/>
  </si>
  <si>
    <t>中詰＝</t>
    <rPh sb="0" eb="1">
      <t>ナカ</t>
    </rPh>
    <rPh sb="1" eb="2">
      <t>ヅメ</t>
    </rPh>
    <phoneticPr fontId="3"/>
  </si>
  <si>
    <t>荷重合計</t>
    <rPh sb="0" eb="2">
      <t>カジュウ</t>
    </rPh>
    <rPh sb="2" eb="4">
      <t>ゴウケイ</t>
    </rPh>
    <phoneticPr fontId="3"/>
  </si>
  <si>
    <t>自重</t>
    <rPh sb="0" eb="2">
      <t>ジジュウ</t>
    </rPh>
    <phoneticPr fontId="3"/>
  </si>
  <si>
    <t>Ｄ1</t>
    <phoneticPr fontId="3"/>
  </si>
  <si>
    <t>Ｄ2</t>
  </si>
  <si>
    <t>Ｄ3</t>
  </si>
  <si>
    <t>Ｄ4</t>
  </si>
  <si>
    <t>Ｄ5</t>
  </si>
  <si>
    <t>Ｄ6</t>
  </si>
  <si>
    <t>∑Ｄ</t>
    <phoneticPr fontId="3"/>
  </si>
  <si>
    <t>Ｗ1</t>
    <phoneticPr fontId="3"/>
  </si>
  <si>
    <t>Ｗ2</t>
  </si>
  <si>
    <t>Ｗ3</t>
  </si>
  <si>
    <t>Ｗ4</t>
  </si>
  <si>
    <t>Ｗ5</t>
  </si>
  <si>
    <t>Ｗ6</t>
  </si>
  <si>
    <t>∑Ｗ</t>
    <phoneticPr fontId="3"/>
  </si>
  <si>
    <t>∑E</t>
    <phoneticPr fontId="3"/>
  </si>
  <si>
    <t>水圧</t>
    <rPh sb="0" eb="2">
      <t>スイアツ</t>
    </rPh>
    <phoneticPr fontId="3"/>
  </si>
  <si>
    <t>土圧</t>
    <rPh sb="0" eb="1">
      <t>ド</t>
    </rPh>
    <rPh sb="1" eb="2">
      <t>アツ</t>
    </rPh>
    <phoneticPr fontId="3"/>
  </si>
  <si>
    <t>合計</t>
    <rPh sb="0" eb="2">
      <t>ゴウケイ</t>
    </rPh>
    <phoneticPr fontId="3"/>
  </si>
  <si>
    <t>高さ</t>
    <rPh sb="0" eb="1">
      <t>タカ</t>
    </rPh>
    <phoneticPr fontId="3"/>
  </si>
  <si>
    <t>幅</t>
    <rPh sb="0" eb="1">
      <t>ハバ</t>
    </rPh>
    <phoneticPr fontId="3"/>
  </si>
  <si>
    <t>区間</t>
    <rPh sb="0" eb="2">
      <t>クカン</t>
    </rPh>
    <phoneticPr fontId="3"/>
  </si>
  <si>
    <t>A</t>
    <phoneticPr fontId="3"/>
  </si>
  <si>
    <t>B</t>
    <phoneticPr fontId="3"/>
  </si>
  <si>
    <t>C</t>
    <phoneticPr fontId="3"/>
  </si>
  <si>
    <t>D</t>
    <phoneticPr fontId="3"/>
  </si>
  <si>
    <t>E</t>
    <phoneticPr fontId="3"/>
  </si>
  <si>
    <t>F</t>
    <phoneticPr fontId="3"/>
  </si>
  <si>
    <t>断面積</t>
    <rPh sb="0" eb="3">
      <t>ダンメンセキ</t>
    </rPh>
    <phoneticPr fontId="3"/>
  </si>
  <si>
    <t>計</t>
    <rPh sb="0" eb="1">
      <t>ケイ</t>
    </rPh>
    <phoneticPr fontId="3"/>
  </si>
  <si>
    <t>本</t>
    <rPh sb="0" eb="1">
      <t>ホン</t>
    </rPh>
    <phoneticPr fontId="3"/>
  </si>
  <si>
    <t>m2</t>
    <phoneticPr fontId="3"/>
  </si>
  <si>
    <t>　流れに垂直方向の長さ＝</t>
    <rPh sb="1" eb="2">
      <t>ナガ</t>
    </rPh>
    <rPh sb="4" eb="6">
      <t>スイチョク</t>
    </rPh>
    <rPh sb="6" eb="8">
      <t>ホウコウ</t>
    </rPh>
    <rPh sb="9" eb="10">
      <t>ナガ</t>
    </rPh>
    <phoneticPr fontId="3"/>
  </si>
  <si>
    <t>縦木（一段当り）</t>
    <rPh sb="0" eb="1">
      <t>タテ</t>
    </rPh>
    <rPh sb="1" eb="2">
      <t>キ</t>
    </rPh>
    <rPh sb="3" eb="5">
      <t>イチダン</t>
    </rPh>
    <rPh sb="5" eb="6">
      <t>ア</t>
    </rPh>
    <phoneticPr fontId="3"/>
  </si>
  <si>
    <t>縦木長さ</t>
    <rPh sb="0" eb="1">
      <t>タテ</t>
    </rPh>
    <rPh sb="1" eb="2">
      <t>キ</t>
    </rPh>
    <rPh sb="2" eb="3">
      <t>ナガ</t>
    </rPh>
    <phoneticPr fontId="3"/>
  </si>
  <si>
    <t>横木（総延長）</t>
    <rPh sb="0" eb="1">
      <t>ヨコ</t>
    </rPh>
    <rPh sb="1" eb="2">
      <t>キ</t>
    </rPh>
    <rPh sb="3" eb="4">
      <t>ソウ</t>
    </rPh>
    <rPh sb="4" eb="6">
      <t>エンチョウ</t>
    </rPh>
    <phoneticPr fontId="3"/>
  </si>
  <si>
    <t>ｍ</t>
    <phoneticPr fontId="3"/>
  </si>
  <si>
    <t>2)本プログラムを使用される場合は、使用者の責任においてご使用ください。</t>
    <rPh sb="2" eb="3">
      <t>ホン</t>
    </rPh>
    <rPh sb="9" eb="11">
      <t>シヨウ</t>
    </rPh>
    <rPh sb="14" eb="16">
      <t>バアイ</t>
    </rPh>
    <rPh sb="18" eb="21">
      <t>シヨウシャ</t>
    </rPh>
    <rPh sb="22" eb="24">
      <t>セキニン</t>
    </rPh>
    <rPh sb="29" eb="31">
      <t>シヨウ</t>
    </rPh>
    <phoneticPr fontId="3"/>
  </si>
  <si>
    <t>4)京都府は、プログラム上のいかなるバグや操作上のミス、あるいはプログラムそのものによる使用者の金銭的損失及びその他の損失について、3)の改良の有無に関わらず免責とさせていただきます。</t>
    <rPh sb="2" eb="5">
      <t>キョウトフ</t>
    </rPh>
    <rPh sb="12" eb="13">
      <t>ウエ</t>
    </rPh>
    <rPh sb="21" eb="23">
      <t>ソウサ</t>
    </rPh>
    <rPh sb="23" eb="24">
      <t>ウエ</t>
    </rPh>
    <rPh sb="44" eb="46">
      <t>シヨウ</t>
    </rPh>
    <rPh sb="46" eb="47">
      <t>シャ</t>
    </rPh>
    <rPh sb="48" eb="50">
      <t>キンセン</t>
    </rPh>
    <rPh sb="50" eb="51">
      <t>テキ</t>
    </rPh>
    <rPh sb="51" eb="53">
      <t>ソンシツ</t>
    </rPh>
    <rPh sb="53" eb="54">
      <t>オヨ</t>
    </rPh>
    <rPh sb="57" eb="58">
      <t>ホカ</t>
    </rPh>
    <rPh sb="59" eb="61">
      <t>ソンシツ</t>
    </rPh>
    <rPh sb="69" eb="71">
      <t>カイリョウ</t>
    </rPh>
    <rPh sb="72" eb="74">
      <t>ウム</t>
    </rPh>
    <rPh sb="75" eb="76">
      <t>カカ</t>
    </rPh>
    <rPh sb="79" eb="81">
      <t>メンセキ</t>
    </rPh>
    <phoneticPr fontId="3"/>
  </si>
  <si>
    <t>※Microsoft、Windows、Excelは、米国Microsoft　Corporationの米国及びその他の国における登録商標です。</t>
    <rPh sb="26" eb="28">
      <t>ベイコク</t>
    </rPh>
    <rPh sb="50" eb="52">
      <t>ベイコク</t>
    </rPh>
    <rPh sb="52" eb="53">
      <t>オヨ</t>
    </rPh>
    <rPh sb="56" eb="57">
      <t>ホカ</t>
    </rPh>
    <rPh sb="58" eb="59">
      <t>クニ</t>
    </rPh>
    <rPh sb="63" eb="65">
      <t>トウロク</t>
    </rPh>
    <rPh sb="65" eb="67">
      <t>ショウヒョウ</t>
    </rPh>
    <phoneticPr fontId="3"/>
  </si>
  <si>
    <t>shinrinhozen@mail.pref.kyoto.jp</t>
  </si>
  <si>
    <t>体積比率</t>
    <rPh sb="0" eb="2">
      <t>タイセキ</t>
    </rPh>
    <rPh sb="2" eb="4">
      <t>ヒリツ</t>
    </rPh>
    <phoneticPr fontId="3"/>
  </si>
  <si>
    <t>全高</t>
    <rPh sb="0" eb="1">
      <t>ゼン</t>
    </rPh>
    <rPh sb="1" eb="2">
      <t>コウ</t>
    </rPh>
    <phoneticPr fontId="3"/>
  </si>
  <si>
    <t>伸ばす？</t>
    <rPh sb="0" eb="1">
      <t>ノ</t>
    </rPh>
    <phoneticPr fontId="3"/>
  </si>
  <si>
    <t>G</t>
    <phoneticPr fontId="3"/>
  </si>
  <si>
    <t>H</t>
    <phoneticPr fontId="3"/>
  </si>
  <si>
    <t>I</t>
    <phoneticPr fontId="3"/>
  </si>
  <si>
    <t>段増える？</t>
    <rPh sb="0" eb="1">
      <t>ダン</t>
    </rPh>
    <rPh sb="1" eb="2">
      <t>フ</t>
    </rPh>
    <phoneticPr fontId="3"/>
  </si>
  <si>
    <t>Ｊ</t>
    <phoneticPr fontId="3"/>
  </si>
  <si>
    <t>伸ばす段数</t>
    <rPh sb="0" eb="1">
      <t>ノ</t>
    </rPh>
    <rPh sb="3" eb="5">
      <t>ダンスウ</t>
    </rPh>
    <phoneticPr fontId="3"/>
  </si>
  <si>
    <t>延長</t>
    <rPh sb="0" eb="2">
      <t>エンチョウ</t>
    </rPh>
    <phoneticPr fontId="3"/>
  </si>
  <si>
    <t>総延長</t>
    <rPh sb="0" eb="3">
      <t>ソウエンチョウ</t>
    </rPh>
    <phoneticPr fontId="3"/>
  </si>
  <si>
    <t>ＫＮ/m3</t>
    <phoneticPr fontId="3"/>
  </si>
  <si>
    <t>Ｄ7</t>
  </si>
  <si>
    <t>Ｄ8</t>
  </si>
  <si>
    <t>Ｄ9</t>
  </si>
  <si>
    <t>Ｄ10</t>
  </si>
  <si>
    <t>Ｗ7</t>
  </si>
  <si>
    <t>Ｗ8</t>
  </si>
  <si>
    <t>Ｗ9</t>
  </si>
  <si>
    <t>Ｗ10</t>
  </si>
  <si>
    <t>垂直力（Ｖ）</t>
    <rPh sb="0" eb="2">
      <t>スイチョク</t>
    </rPh>
    <rPh sb="2" eb="3">
      <t>リョク</t>
    </rPh>
    <phoneticPr fontId="3"/>
  </si>
  <si>
    <t>水平力（Ｈ）</t>
    <rPh sb="0" eb="2">
      <t>スイヘイ</t>
    </rPh>
    <rPh sb="2" eb="3">
      <t>リョク</t>
    </rPh>
    <phoneticPr fontId="3"/>
  </si>
  <si>
    <t>ｱｰﾑ長（Ｘ）</t>
    <rPh sb="3" eb="4">
      <t>チョウ</t>
    </rPh>
    <phoneticPr fontId="3"/>
  </si>
  <si>
    <t>ｱｰﾑ長（Ｙ）</t>
    <rPh sb="3" eb="4">
      <t>チョウ</t>
    </rPh>
    <phoneticPr fontId="3"/>
  </si>
  <si>
    <t>摩擦係数</t>
    <rPh sb="0" eb="2">
      <t>マサツ</t>
    </rPh>
    <rPh sb="2" eb="4">
      <t>ケイスウ</t>
    </rPh>
    <phoneticPr fontId="3"/>
  </si>
  <si>
    <t>木製治山ダム単位体積重量の算定</t>
    <rPh sb="0" eb="2">
      <t>モクセイ</t>
    </rPh>
    <rPh sb="2" eb="4">
      <t>チサン</t>
    </rPh>
    <rPh sb="6" eb="8">
      <t>タンイ</t>
    </rPh>
    <rPh sb="8" eb="10">
      <t>タイセキ</t>
    </rPh>
    <rPh sb="10" eb="12">
      <t>ジュウリョウ</t>
    </rPh>
    <rPh sb="13" eb="15">
      <t>サンテイ</t>
    </rPh>
    <phoneticPr fontId="3"/>
  </si>
  <si>
    <t>Σ</t>
    <phoneticPr fontId="3"/>
  </si>
  <si>
    <t>地盤支持力</t>
    <rPh sb="0" eb="1">
      <t>ジ</t>
    </rPh>
    <rPh sb="1" eb="2">
      <t>バン</t>
    </rPh>
    <rPh sb="2" eb="4">
      <t>シジ</t>
    </rPh>
    <rPh sb="4" eb="5">
      <t>リョク</t>
    </rPh>
    <phoneticPr fontId="3"/>
  </si>
  <si>
    <t>ＫＮ</t>
    <phoneticPr fontId="3"/>
  </si>
  <si>
    <t>総延長Ｘ断面積</t>
    <rPh sb="0" eb="1">
      <t>ソウ</t>
    </rPh>
    <rPh sb="1" eb="3">
      <t>エンチョウ</t>
    </rPh>
    <rPh sb="4" eb="7">
      <t>ダンメンセキ</t>
    </rPh>
    <phoneticPr fontId="3"/>
  </si>
  <si>
    <t>越流水深</t>
    <rPh sb="0" eb="1">
      <t>エツ</t>
    </rPh>
    <rPh sb="1" eb="2">
      <t>リュウ</t>
    </rPh>
    <rPh sb="2" eb="4">
      <t>スイシン</t>
    </rPh>
    <phoneticPr fontId="3"/>
  </si>
  <si>
    <t>天端厚</t>
    <rPh sb="0" eb="1">
      <t>テン</t>
    </rPh>
    <rPh sb="1" eb="2">
      <t>ハシ</t>
    </rPh>
    <rPh sb="2" eb="3">
      <t>アツ</t>
    </rPh>
    <phoneticPr fontId="3"/>
  </si>
  <si>
    <t>堤敷幅(B)</t>
    <rPh sb="0" eb="1">
      <t>ツツミ</t>
    </rPh>
    <rPh sb="1" eb="2">
      <t>シ</t>
    </rPh>
    <rPh sb="2" eb="3">
      <t>ハバ</t>
    </rPh>
    <phoneticPr fontId="3"/>
  </si>
  <si>
    <t>ステップ幅</t>
    <rPh sb="4" eb="5">
      <t>ハバ</t>
    </rPh>
    <phoneticPr fontId="3"/>
  </si>
  <si>
    <t>積む段数＝</t>
    <rPh sb="0" eb="1">
      <t>ツ</t>
    </rPh>
    <rPh sb="2" eb="4">
      <t>ダンスウ</t>
    </rPh>
    <phoneticPr fontId="3"/>
  </si>
  <si>
    <t>材加工高さ</t>
    <rPh sb="0" eb="1">
      <t>ザイ</t>
    </rPh>
    <rPh sb="1" eb="3">
      <t>カコウ</t>
    </rPh>
    <rPh sb="3" eb="4">
      <t>タカ</t>
    </rPh>
    <phoneticPr fontId="3"/>
  </si>
  <si>
    <t>材断面積</t>
    <rPh sb="0" eb="1">
      <t>ザイ</t>
    </rPh>
    <rPh sb="1" eb="4">
      <t>ダンメンセキ</t>
    </rPh>
    <phoneticPr fontId="3"/>
  </si>
  <si>
    <t>使用材幅</t>
    <rPh sb="0" eb="2">
      <t>シヨウ</t>
    </rPh>
    <rPh sb="2" eb="3">
      <t>ザイ</t>
    </rPh>
    <rPh sb="3" eb="4">
      <t>ハバ</t>
    </rPh>
    <phoneticPr fontId="3"/>
  </si>
  <si>
    <r>
      <t>m</t>
    </r>
    <r>
      <rPr>
        <vertAlign val="superscript"/>
        <sz val="14"/>
        <rFont val="ＭＳ Ｐゴシック"/>
        <family val="3"/>
        <charset val="128"/>
      </rPr>
      <t>3</t>
    </r>
    <phoneticPr fontId="3"/>
  </si>
  <si>
    <t>平均単位体積重量</t>
    <rPh sb="0" eb="2">
      <t>ヘイキン</t>
    </rPh>
    <rPh sb="2" eb="4">
      <t>タンイ</t>
    </rPh>
    <rPh sb="4" eb="6">
      <t>タイセキ</t>
    </rPh>
    <rPh sb="6" eb="8">
      <t>ジュウリョウ</t>
    </rPh>
    <phoneticPr fontId="3"/>
  </si>
  <si>
    <t>治山ダム規模及び基礎条件</t>
    <rPh sb="0" eb="2">
      <t>チサン</t>
    </rPh>
    <rPh sb="4" eb="6">
      <t>キボ</t>
    </rPh>
    <rPh sb="6" eb="7">
      <t>オヨ</t>
    </rPh>
    <rPh sb="8" eb="10">
      <t>キソ</t>
    </rPh>
    <rPh sb="10" eb="12">
      <t>ジョウケン</t>
    </rPh>
    <phoneticPr fontId="3"/>
  </si>
  <si>
    <t>抵抗ﾓｰﾒﾝﾄ（ＭV）</t>
    <rPh sb="0" eb="2">
      <t>テイコウ</t>
    </rPh>
    <phoneticPr fontId="3"/>
  </si>
  <si>
    <t>転倒ﾓｰﾒﾝﾄ（MH）</t>
    <rPh sb="0" eb="2">
      <t>テントウ</t>
    </rPh>
    <phoneticPr fontId="3"/>
  </si>
  <si>
    <t>京都府農林水産部森林保全課</t>
    <rPh sb="0" eb="3">
      <t>キョウトフ</t>
    </rPh>
    <rPh sb="3" eb="5">
      <t>ノウリン</t>
    </rPh>
    <rPh sb="5" eb="8">
      <t>スイサンブ</t>
    </rPh>
    <rPh sb="8" eb="10">
      <t>シンリン</t>
    </rPh>
    <rPh sb="10" eb="12">
      <t>ホゼン</t>
    </rPh>
    <rPh sb="12" eb="13">
      <t>カ</t>
    </rPh>
    <phoneticPr fontId="3"/>
  </si>
  <si>
    <t>使用する木材のサイズ（デフォルトでは京都府で標準としている規格です）</t>
    <rPh sb="0" eb="2">
      <t>シヨウ</t>
    </rPh>
    <rPh sb="4" eb="6">
      <t>モクザイ</t>
    </rPh>
    <rPh sb="18" eb="21">
      <t>キョウトフ</t>
    </rPh>
    <rPh sb="22" eb="24">
      <t>ヒョウジュン</t>
    </rPh>
    <rPh sb="29" eb="31">
      <t>キカク</t>
    </rPh>
    <phoneticPr fontId="3"/>
  </si>
  <si>
    <t>（使用木材の平均径）</t>
    <rPh sb="1" eb="3">
      <t>シヨウ</t>
    </rPh>
    <rPh sb="3" eb="5">
      <t>モクザイ</t>
    </rPh>
    <rPh sb="6" eb="8">
      <t>ヘイキン</t>
    </rPh>
    <rPh sb="8" eb="9">
      <t>ケイ</t>
    </rPh>
    <phoneticPr fontId="3"/>
  </si>
  <si>
    <t>（タイコ挽き高さ）</t>
    <rPh sb="4" eb="5">
      <t>ビ</t>
    </rPh>
    <rPh sb="6" eb="7">
      <t>タカ</t>
    </rPh>
    <phoneticPr fontId="3"/>
  </si>
  <si>
    <t>（タイコ挽き断面積）</t>
    <rPh sb="4" eb="5">
      <t>ビ</t>
    </rPh>
    <rPh sb="6" eb="9">
      <t>ダンメンセキ</t>
    </rPh>
    <phoneticPr fontId="3"/>
  </si>
  <si>
    <t>材積断面のデフォルト値である0.029の計算方法は「木製治山ダム設計マニュアル」参照</t>
    <rPh sb="0" eb="1">
      <t>ザイ</t>
    </rPh>
    <rPh sb="1" eb="2">
      <t>セキ</t>
    </rPh>
    <rPh sb="2" eb="4">
      <t>ダンメン</t>
    </rPh>
    <rPh sb="10" eb="11">
      <t>チ</t>
    </rPh>
    <rPh sb="20" eb="22">
      <t>ケイサン</t>
    </rPh>
    <rPh sb="22" eb="24">
      <t>ホウホウ</t>
    </rPh>
    <rPh sb="26" eb="28">
      <t>モクセイ</t>
    </rPh>
    <rPh sb="28" eb="30">
      <t>チサン</t>
    </rPh>
    <rPh sb="32" eb="34">
      <t>セッケイ</t>
    </rPh>
    <rPh sb="40" eb="42">
      <t>サンショウ</t>
    </rPh>
    <phoneticPr fontId="3"/>
  </si>
  <si>
    <t>便宜上、京都府では６ｍとしています。</t>
    <rPh sb="0" eb="2">
      <t>ベンギ</t>
    </rPh>
    <rPh sb="2" eb="3">
      <t>ウエ</t>
    </rPh>
    <rPh sb="4" eb="7">
      <t>キョウトフ</t>
    </rPh>
    <phoneticPr fontId="3"/>
  </si>
  <si>
    <t>※デフォルトでは下から３段分は同じ長さの縦材となっています(Ver.1.0.0と同じ断面)。</t>
    <rPh sb="8" eb="9">
      <t>シタ</t>
    </rPh>
    <rPh sb="12" eb="13">
      <t>ダン</t>
    </rPh>
    <rPh sb="13" eb="14">
      <t>ブン</t>
    </rPh>
    <rPh sb="15" eb="16">
      <t>オナ</t>
    </rPh>
    <rPh sb="17" eb="18">
      <t>ナガ</t>
    </rPh>
    <rPh sb="20" eb="21">
      <t>タテ</t>
    </rPh>
    <rPh sb="21" eb="22">
      <t>ザイ</t>
    </rPh>
    <rPh sb="40" eb="41">
      <t>オナ</t>
    </rPh>
    <rPh sb="42" eb="44">
      <t>ダンメン</t>
    </rPh>
    <phoneticPr fontId="3"/>
  </si>
  <si>
    <t>V</t>
    <phoneticPr fontId="3"/>
  </si>
  <si>
    <t>X</t>
    <phoneticPr fontId="3"/>
  </si>
  <si>
    <t>区間幅×区間高さ×平均単位体積重量</t>
    <rPh sb="0" eb="2">
      <t>クカン</t>
    </rPh>
    <rPh sb="2" eb="3">
      <t>ハバ</t>
    </rPh>
    <rPh sb="4" eb="6">
      <t>クカン</t>
    </rPh>
    <rPh sb="6" eb="7">
      <t>タカ</t>
    </rPh>
    <rPh sb="9" eb="11">
      <t>ヘイキン</t>
    </rPh>
    <rPh sb="11" eb="13">
      <t>タンイ</t>
    </rPh>
    <rPh sb="13" eb="15">
      <t>タイセキ</t>
    </rPh>
    <rPh sb="15" eb="17">
      <t>ジュウリョウ</t>
    </rPh>
    <phoneticPr fontId="3"/>
  </si>
  <si>
    <t>区間のアーム長</t>
    <rPh sb="0" eb="2">
      <t>クカン</t>
    </rPh>
    <rPh sb="6" eb="7">
      <t>チョウ</t>
    </rPh>
    <phoneticPr fontId="3"/>
  </si>
  <si>
    <t>W</t>
    <phoneticPr fontId="3"/>
  </si>
  <si>
    <t>区間幅×越流水深×水の単位体積重量</t>
    <rPh sb="0" eb="2">
      <t>クカン</t>
    </rPh>
    <rPh sb="2" eb="3">
      <t>ハバ</t>
    </rPh>
    <rPh sb="4" eb="5">
      <t>エツ</t>
    </rPh>
    <rPh sb="5" eb="7">
      <t>リュウスイ</t>
    </rPh>
    <rPh sb="7" eb="8">
      <t>ブカ</t>
    </rPh>
    <rPh sb="9" eb="10">
      <t>ミズ</t>
    </rPh>
    <rPh sb="11" eb="13">
      <t>タンイ</t>
    </rPh>
    <rPh sb="13" eb="15">
      <t>タイセキ</t>
    </rPh>
    <rPh sb="15" eb="17">
      <t>ジュウリョウ</t>
    </rPh>
    <phoneticPr fontId="3"/>
  </si>
  <si>
    <t>Ｈ</t>
    <phoneticPr fontId="3"/>
  </si>
  <si>
    <t>越流水深×水の単位体積重量×提体の高さ×土圧</t>
    <rPh sb="0" eb="1">
      <t>エツ</t>
    </rPh>
    <rPh sb="1" eb="3">
      <t>リュウスイ</t>
    </rPh>
    <rPh sb="3" eb="4">
      <t>ブカ</t>
    </rPh>
    <rPh sb="5" eb="6">
      <t>ミズ</t>
    </rPh>
    <rPh sb="7" eb="9">
      <t>タンイ</t>
    </rPh>
    <rPh sb="9" eb="11">
      <t>タイセキ</t>
    </rPh>
    <rPh sb="11" eb="13">
      <t>ジュウリョウ</t>
    </rPh>
    <rPh sb="14" eb="15">
      <t>テイ</t>
    </rPh>
    <rPh sb="15" eb="16">
      <t>タイ</t>
    </rPh>
    <rPh sb="17" eb="18">
      <t>タカ</t>
    </rPh>
    <rPh sb="20" eb="21">
      <t>ド</t>
    </rPh>
    <rPh sb="21" eb="22">
      <t>アツ</t>
    </rPh>
    <phoneticPr fontId="3"/>
  </si>
  <si>
    <t>(土圧係数:0.333）</t>
    <rPh sb="1" eb="2">
      <t>ド</t>
    </rPh>
    <rPh sb="2" eb="3">
      <t>アツ</t>
    </rPh>
    <rPh sb="3" eb="5">
      <t>ケイスウ</t>
    </rPh>
    <phoneticPr fontId="3"/>
  </si>
  <si>
    <t>提体の高さの2乗/2×土の単位体積重量×土圧</t>
    <rPh sb="0" eb="2">
      <t>テイタイ</t>
    </rPh>
    <rPh sb="3" eb="4">
      <t>タカ</t>
    </rPh>
    <rPh sb="7" eb="8">
      <t>ジョウ</t>
    </rPh>
    <rPh sb="11" eb="12">
      <t>ツチ</t>
    </rPh>
    <rPh sb="13" eb="15">
      <t>タンイ</t>
    </rPh>
    <rPh sb="15" eb="17">
      <t>タイセキ</t>
    </rPh>
    <rPh sb="17" eb="19">
      <t>ジュウリョウ</t>
    </rPh>
    <rPh sb="20" eb="21">
      <t>ド</t>
    </rPh>
    <rPh sb="21" eb="22">
      <t>アツ</t>
    </rPh>
    <phoneticPr fontId="3"/>
  </si>
  <si>
    <t>Ｙ</t>
    <phoneticPr fontId="3"/>
  </si>
  <si>
    <t>Ｙ1:</t>
    <phoneticPr fontId="3"/>
  </si>
  <si>
    <t>提体の高さ/2</t>
    <rPh sb="0" eb="2">
      <t>テイタイ</t>
    </rPh>
    <rPh sb="3" eb="4">
      <t>タカ</t>
    </rPh>
    <phoneticPr fontId="3"/>
  </si>
  <si>
    <t>Ｙ2:</t>
    <phoneticPr fontId="3"/>
  </si>
  <si>
    <t>提体の高さ/3</t>
    <rPh sb="0" eb="2">
      <t>テイタイ</t>
    </rPh>
    <rPh sb="3" eb="4">
      <t>タカ</t>
    </rPh>
    <phoneticPr fontId="3"/>
  </si>
  <si>
    <t>W1</t>
    <phoneticPr fontId="3"/>
  </si>
  <si>
    <t xml:space="preserve">     E2
</t>
    <phoneticPr fontId="3"/>
  </si>
  <si>
    <t>W2</t>
    <phoneticPr fontId="3"/>
  </si>
  <si>
    <t>W3</t>
    <phoneticPr fontId="3"/>
  </si>
  <si>
    <t>W4</t>
    <phoneticPr fontId="3"/>
  </si>
  <si>
    <t>E1</t>
    <phoneticPr fontId="3"/>
  </si>
  <si>
    <t>W5</t>
    <phoneticPr fontId="3"/>
  </si>
  <si>
    <t>E2</t>
    <phoneticPr fontId="3"/>
  </si>
  <si>
    <t>W6</t>
    <phoneticPr fontId="3"/>
  </si>
  <si>
    <t>D1</t>
    <phoneticPr fontId="3"/>
  </si>
  <si>
    <t>D2</t>
    <phoneticPr fontId="3"/>
  </si>
  <si>
    <t>D3</t>
    <phoneticPr fontId="3"/>
  </si>
  <si>
    <t>D4</t>
    <phoneticPr fontId="3"/>
  </si>
  <si>
    <t>D5</t>
    <phoneticPr fontId="3"/>
  </si>
  <si>
    <t>D６</t>
    <phoneticPr fontId="3"/>
  </si>
  <si>
    <t>(A)</t>
    <phoneticPr fontId="3"/>
  </si>
  <si>
    <t>(B)</t>
    <phoneticPr fontId="3"/>
  </si>
  <si>
    <t>(C)</t>
    <phoneticPr fontId="3"/>
  </si>
  <si>
    <t>(D)</t>
    <phoneticPr fontId="3"/>
  </si>
  <si>
    <t>(E)</t>
    <phoneticPr fontId="3"/>
  </si>
  <si>
    <t>(F)</t>
    <phoneticPr fontId="3"/>
  </si>
  <si>
    <t>アーム長（起点からの距離）</t>
    <rPh sb="3" eb="4">
      <t>チョウ</t>
    </rPh>
    <rPh sb="5" eb="7">
      <t>キテン</t>
    </rPh>
    <rPh sb="10" eb="12">
      <t>キョリ</t>
    </rPh>
    <phoneticPr fontId="3"/>
  </si>
  <si>
    <t>H1</t>
    <phoneticPr fontId="3"/>
  </si>
  <si>
    <t>H2</t>
    <phoneticPr fontId="3"/>
  </si>
  <si>
    <t>(土の単位体積重量:18)</t>
    <rPh sb="1" eb="2">
      <t>ツチ</t>
    </rPh>
    <rPh sb="3" eb="5">
      <t>タンイ</t>
    </rPh>
    <rPh sb="5" eb="7">
      <t>タイセキ</t>
    </rPh>
    <rPh sb="7" eb="9">
      <t>ジュウリョウ</t>
    </rPh>
    <phoneticPr fontId="3"/>
  </si>
  <si>
    <t>Ｅ１:</t>
    <phoneticPr fontId="3"/>
  </si>
  <si>
    <t>Ｅ2:</t>
    <phoneticPr fontId="3"/>
  </si>
  <si>
    <t>安定計算</t>
    <rPh sb="0" eb="2">
      <t>アンテイ</t>
    </rPh>
    <rPh sb="2" eb="4">
      <t>ケイサン</t>
    </rPh>
    <phoneticPr fontId="3"/>
  </si>
  <si>
    <t>箇所名</t>
    <rPh sb="0" eb="2">
      <t>カショ</t>
    </rPh>
    <rPh sb="2" eb="3">
      <t>メイ</t>
    </rPh>
    <phoneticPr fontId="3"/>
  </si>
  <si>
    <t>５　堤底厚及び断面積</t>
  </si>
  <si>
    <t>６　転倒に対する検討（合力の作用位置及び偏心距離）</t>
    <rPh sb="2" eb="4">
      <t>テントウ</t>
    </rPh>
    <rPh sb="5" eb="6">
      <t>タイ</t>
    </rPh>
    <rPh sb="8" eb="10">
      <t>ケントウ</t>
    </rPh>
    <phoneticPr fontId="3"/>
  </si>
  <si>
    <t>７　内部応力及び地盤反力に対する検討</t>
    <rPh sb="13" eb="14">
      <t>タイ</t>
    </rPh>
    <rPh sb="16" eb="18">
      <t>ケントウ</t>
    </rPh>
    <phoneticPr fontId="3"/>
  </si>
  <si>
    <t>KN/㎡</t>
    <phoneticPr fontId="3"/>
  </si>
  <si>
    <r>
      <t>地盤反力（Ｐ</t>
    </r>
    <r>
      <rPr>
        <vertAlign val="subscript"/>
        <sz val="10"/>
        <rFont val="ＭＳ 明朝"/>
        <family val="1"/>
        <charset val="128"/>
      </rPr>
      <t>１</t>
    </r>
    <r>
      <rPr>
        <sz val="10"/>
        <rFont val="ＭＳ 明朝"/>
        <family val="1"/>
        <charset val="128"/>
      </rPr>
      <t>）＝ （σ</t>
    </r>
    <r>
      <rPr>
        <vertAlign val="subscript"/>
        <sz val="10"/>
        <rFont val="ＭＳ 明朝"/>
        <family val="1"/>
        <charset val="128"/>
      </rPr>
      <t>１</t>
    </r>
    <r>
      <rPr>
        <sz val="10"/>
        <rFont val="ＭＳ 明朝"/>
        <family val="1"/>
        <charset val="128"/>
      </rPr>
      <t xml:space="preserve">） ＝ </t>
    </r>
    <phoneticPr fontId="18"/>
  </si>
  <si>
    <r>
      <t>　　　　（Ｐ</t>
    </r>
    <r>
      <rPr>
        <vertAlign val="subscript"/>
        <sz val="10"/>
        <rFont val="ＭＳ 明朝"/>
        <family val="1"/>
        <charset val="128"/>
      </rPr>
      <t>２</t>
    </r>
    <r>
      <rPr>
        <sz val="10"/>
        <rFont val="ＭＳ 明朝"/>
        <family val="1"/>
        <charset val="128"/>
      </rPr>
      <t>）＝ （σ</t>
    </r>
    <r>
      <rPr>
        <vertAlign val="subscript"/>
        <sz val="10"/>
        <rFont val="ＭＳ 明朝"/>
        <family val="1"/>
        <charset val="128"/>
      </rPr>
      <t>２</t>
    </r>
    <r>
      <rPr>
        <sz val="10"/>
        <rFont val="ＭＳ 明朝"/>
        <family val="1"/>
        <charset val="128"/>
      </rPr>
      <t xml:space="preserve">） ＝ </t>
    </r>
    <phoneticPr fontId="18"/>
  </si>
  <si>
    <r>
      <t>（σ</t>
    </r>
    <r>
      <rPr>
        <vertAlign val="subscript"/>
        <sz val="10"/>
        <rFont val="ＭＳ 明朝"/>
        <family val="1"/>
        <charset val="128"/>
      </rPr>
      <t>１</t>
    </r>
    <r>
      <rPr>
        <sz val="10"/>
        <rFont val="ＭＳ 明朝"/>
        <family val="1"/>
        <charset val="128"/>
      </rPr>
      <t>）</t>
    </r>
    <phoneticPr fontId="18"/>
  </si>
  <si>
    <r>
      <t>（σ</t>
    </r>
    <r>
      <rPr>
        <vertAlign val="subscript"/>
        <sz val="10"/>
        <rFont val="ＭＳ 明朝"/>
        <family val="1"/>
        <charset val="128"/>
      </rPr>
      <t>２</t>
    </r>
    <r>
      <rPr>
        <sz val="10"/>
        <rFont val="ＭＳ 明朝"/>
        <family val="1"/>
        <charset val="128"/>
      </rPr>
      <t>）</t>
    </r>
    <phoneticPr fontId="18"/>
  </si>
  <si>
    <t>８　滑動に対する検討</t>
    <rPh sb="5" eb="6">
      <t>タイ</t>
    </rPh>
    <rPh sb="8" eb="10">
      <t>ケントウ</t>
    </rPh>
    <phoneticPr fontId="3"/>
  </si>
  <si>
    <t>断面積（Ａ）＝　</t>
    <rPh sb="0" eb="3">
      <t>ダンメンセキ</t>
    </rPh>
    <phoneticPr fontId="3"/>
  </si>
  <si>
    <t>堤底厚（Ｂ）＝</t>
    <rPh sb="0" eb="2">
      <t>テイテイ</t>
    </rPh>
    <rPh sb="2" eb="3">
      <t>アツ</t>
    </rPh>
    <phoneticPr fontId="3"/>
  </si>
  <si>
    <t>（ラムダ型）</t>
    <rPh sb="4" eb="5">
      <t>ガタ</t>
    </rPh>
    <phoneticPr fontId="3"/>
  </si>
  <si>
    <t>ver.2.0.1</t>
    <phoneticPr fontId="3"/>
  </si>
  <si>
    <t>1)本プログラムはMicrosoft　Excel2010で作成してあります。Excel2010に関する質問は一切受け付けませんのでご了承ください。</t>
    <rPh sb="2" eb="3">
      <t>ホン</t>
    </rPh>
    <rPh sb="29" eb="31">
      <t>サクセイ</t>
    </rPh>
    <rPh sb="48" eb="49">
      <t>カン</t>
    </rPh>
    <rPh sb="51" eb="53">
      <t>シツモン</t>
    </rPh>
    <rPh sb="54" eb="56">
      <t>イッサイ</t>
    </rPh>
    <rPh sb="56" eb="57">
      <t>ウ</t>
    </rPh>
    <rPh sb="58" eb="59">
      <t>ツ</t>
    </rPh>
    <rPh sb="66" eb="68">
      <t>リョウショウ</t>
    </rPh>
    <phoneticPr fontId="3"/>
  </si>
  <si>
    <t>3)本プログラムの著作権は京都府にありますが、使いやすいように改良していただいて結構です。独自に改良等加えられた場合は、今後のバージョンアップの参考にしたいので、下記までメールください。また、バグを発見された場合もご一報いただければ幸いです。
　ただし、エクセル及びWindowsに関する知識が必要です。内容をよく理解された上で、行ってください。
　なお、ver.2.0.1は(社)秋田県林業コンサルタントの御協力を得て改良したver.2.0.0の細部修正版です。</t>
    <rPh sb="2" eb="3">
      <t>ホン</t>
    </rPh>
    <rPh sb="9" eb="10">
      <t>チョ</t>
    </rPh>
    <rPh sb="10" eb="11">
      <t>サクセン</t>
    </rPh>
    <rPh sb="11" eb="12">
      <t>ケン</t>
    </rPh>
    <rPh sb="13" eb="16">
      <t>キョウトフ</t>
    </rPh>
    <rPh sb="23" eb="24">
      <t>ツカ</t>
    </rPh>
    <rPh sb="31" eb="33">
      <t>カイリョウ</t>
    </rPh>
    <rPh sb="40" eb="42">
      <t>ケッコウ</t>
    </rPh>
    <rPh sb="131" eb="132">
      <t>オヨ</t>
    </rPh>
    <rPh sb="141" eb="142">
      <t>カン</t>
    </rPh>
    <rPh sb="144" eb="146">
      <t>チシキ</t>
    </rPh>
    <rPh sb="147" eb="149">
      <t>ヒツヨウ</t>
    </rPh>
    <rPh sb="152" eb="154">
      <t>ナイヨウ</t>
    </rPh>
    <rPh sb="157" eb="159">
      <t>リカイ</t>
    </rPh>
    <rPh sb="162" eb="163">
      <t>ウエ</t>
    </rPh>
    <rPh sb="165" eb="166">
      <t>オコナ</t>
    </rPh>
    <rPh sb="189" eb="190">
      <t>シャ</t>
    </rPh>
    <rPh sb="191" eb="193">
      <t>アキタ</t>
    </rPh>
    <rPh sb="193" eb="194">
      <t>ケン</t>
    </rPh>
    <rPh sb="194" eb="196">
      <t>リンギョウ</t>
    </rPh>
    <rPh sb="204" eb="207">
      <t>ゴキョウリョク</t>
    </rPh>
    <rPh sb="208" eb="209">
      <t>エ</t>
    </rPh>
    <rPh sb="210" eb="212">
      <t>カイリョウ</t>
    </rPh>
    <rPh sb="224" eb="226">
      <t>サイブ</t>
    </rPh>
    <rPh sb="226" eb="229">
      <t>シュウセイバン</t>
    </rPh>
    <phoneticPr fontId="3"/>
  </si>
  <si>
    <t>偏心距離の値の絶対値</t>
    <rPh sb="0" eb="1">
      <t>ヘン</t>
    </rPh>
    <rPh sb="1" eb="2">
      <t>シン</t>
    </rPh>
    <rPh sb="2" eb="4">
      <t>キョリ</t>
    </rPh>
    <rPh sb="5" eb="6">
      <t>アタイ</t>
    </rPh>
    <rPh sb="7" eb="10">
      <t>ゼッタイチ</t>
    </rPh>
    <phoneticPr fontId="3"/>
  </si>
  <si>
    <t>m</t>
    <phoneticPr fontId="3"/>
  </si>
  <si>
    <t>㎡</t>
    <phoneticPr fontId="3"/>
  </si>
  <si>
    <t>変形λ型安定計算</t>
    <rPh sb="0" eb="2">
      <t>ヘンケイ</t>
    </rPh>
    <rPh sb="3" eb="4">
      <t>ガタ</t>
    </rPh>
    <rPh sb="4" eb="6">
      <t>アンテイ</t>
    </rPh>
    <rPh sb="6" eb="8">
      <t>ケイサン</t>
    </rPh>
    <phoneticPr fontId="3"/>
  </si>
  <si>
    <t>箇所名</t>
    <rPh sb="0" eb="2">
      <t>カショ</t>
    </rPh>
    <rPh sb="2" eb="3">
      <t>メイ</t>
    </rPh>
    <phoneticPr fontId="3"/>
  </si>
  <si>
    <t>○○市○○地内</t>
    <rPh sb="0" eb="3">
      <t>マルマルシ</t>
    </rPh>
    <rPh sb="5" eb="7">
      <t>チナイ</t>
    </rPh>
    <phoneticPr fontId="3"/>
  </si>
  <si>
    <t>第○号ダム</t>
    <rPh sb="0" eb="1">
      <t>ダイ</t>
    </rPh>
    <rPh sb="2" eb="3">
      <t>ゴウ</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</si>
</sst>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176" formatCode="0.0_ "/>
    <numFmt numFmtId="177" formatCode="0.000_ "/>
    <numFmt numFmtId="178" formatCode="0.0000_ "/>
    <numFmt numFmtId="179" formatCode="0.00_ "/>
    <numFmt numFmtId="180" formatCode="0.000"/>
    <numFmt numFmtId="181" formatCode="0.0"/>
    <numFmt numFmtId="182" formatCode="0.0000"/>
    <numFmt numFmtId="183" formatCode="0.000_);[Red]\(0.000\)"/>
    <numFmt numFmtId="184" formatCode="0.0000_);[Red]\(0.0000\)"/>
    <numFmt numFmtId="185" formatCode="#,##0.000_ "/>
    <numFmt numFmtId="186" formatCode="0.0_);[Red]\(0.0\)"/>
  </numFmts>
  <fonts count="22" x14ac:knownFonts="1">
    <font>
      <sz val="11"/>
      <name val="ＭＳ Ｐゴシック"/>
      <family val="3"/>
      <charset val="128"/>
    </font>
    <font>
      <sz val="11"/>
      <name val="ＭＳ Ｐゴシック"/>
      <family val="3"/>
      <charset val="128"/>
    </font>
    <font>
      <sz val="14"/>
      <name val="ＭＳ Ｐゴシック"/>
      <family val="3"/>
      <charset val="128"/>
    </font>
    <font>
      <sz val="6"/>
      <name val="ＭＳ Ｐゴシック"/>
      <family val="3"/>
      <charset val="128"/>
    </font>
    <font>
      <sz val="14"/>
      <color indexed="10"/>
      <name val="ＭＳ Ｐゴシック"/>
      <family val="3"/>
      <charset val="128"/>
    </font>
    <font>
      <sz val="10"/>
      <name val="ＭＳ Ｐゴシック"/>
      <family val="3"/>
      <charset val="128"/>
    </font>
    <font>
      <sz val="9"/>
      <name val="ＭＳ Ｐゴシック"/>
      <family val="3"/>
      <charset val="128"/>
    </font>
    <font>
      <sz val="8"/>
      <name val="ＭＳ Ｐゴシック"/>
      <family val="3"/>
      <charset val="128"/>
    </font>
    <font>
      <sz val="16"/>
      <name val="ＭＳ Ｐゴシック"/>
      <family val="3"/>
      <charset val="128"/>
    </font>
    <font>
      <b/>
      <sz val="14"/>
      <name val="ＭＳ Ｐゴシック"/>
      <family val="3"/>
      <charset val="128"/>
    </font>
    <font>
      <sz val="12"/>
      <name val="ＭＳ Ｐゴシック"/>
      <family val="3"/>
      <charset val="128"/>
    </font>
    <font>
      <b/>
      <sz val="12"/>
      <name val="ＭＳ Ｐゴシック"/>
      <family val="3"/>
      <charset val="128"/>
    </font>
    <font>
      <vertAlign val="superscript"/>
      <sz val="14"/>
      <name val="ＭＳ Ｐゴシック"/>
      <family val="3"/>
      <charset val="128"/>
    </font>
    <font>
      <sz val="20"/>
      <name val="ＭＳ 明朝"/>
      <family val="1"/>
      <charset val="128"/>
    </font>
    <font>
      <sz val="20"/>
      <name val="ＭＳ Ｐゴシック"/>
      <family val="3"/>
      <charset val="128"/>
    </font>
    <font>
      <u/>
      <sz val="11"/>
      <name val="ＭＳ 明朝"/>
      <family val="1"/>
      <charset val="128"/>
    </font>
    <font>
      <sz val="11"/>
      <name val="ＭＳ 明朝"/>
      <family val="1"/>
      <charset val="128"/>
    </font>
    <font>
      <sz val="10"/>
      <name val="ＭＳ 明朝"/>
      <family val="1"/>
      <charset val="128"/>
    </font>
    <font>
      <sz val="6"/>
      <name val="ＭＳ Ｐ明朝"/>
      <family val="1"/>
      <charset val="128"/>
    </font>
    <font>
      <vertAlign val="subscript"/>
      <sz val="10"/>
      <name val="ＭＳ 明朝"/>
      <family val="1"/>
      <charset val="128"/>
    </font>
    <font>
      <sz val="12"/>
      <name val="ＭＳ ゴシック"/>
      <family val="3"/>
      <charset val="128"/>
    </font>
    <font>
      <sz val="10"/>
      <color rgb="FFFF0000"/>
      <name val="ＭＳ 明朝"/>
      <family val="1"/>
      <charset val="128"/>
    </font>
  </fonts>
  <fills count="5">
    <fill>
      <patternFill patternType="none"/>
    </fill>
    <fill>
      <patternFill patternType="gray125"/>
    </fill>
    <fill>
      <patternFill patternType="solid">
        <fgColor indexed="15"/>
        <bgColor indexed="64"/>
      </patternFill>
    </fill>
    <fill>
      <patternFill patternType="solid">
        <fgColor indexed="13"/>
        <bgColor indexed="64"/>
      </patternFill>
    </fill>
    <fill>
      <patternFill patternType="solid">
        <fgColor indexed="42"/>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thin">
        <color indexed="64"/>
      </left>
      <right/>
      <top style="thin">
        <color indexed="64"/>
      </top>
      <bottom/>
      <diagonal/>
    </border>
    <border>
      <left/>
      <right style="medium">
        <color indexed="64"/>
      </right>
      <top/>
      <bottom style="medium">
        <color indexed="64"/>
      </bottom>
      <diagonal/>
    </border>
    <border>
      <left/>
      <right/>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style="thin">
        <color indexed="64"/>
      </left>
      <right/>
      <top style="medium">
        <color indexed="64"/>
      </top>
      <bottom style="medium">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right/>
      <top style="medium">
        <color indexed="64"/>
      </top>
      <bottom style="medium">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right/>
      <top style="thin">
        <color indexed="64"/>
      </top>
      <bottom style="thin">
        <color indexed="64"/>
      </bottom>
      <diagonal/>
    </border>
  </borders>
  <cellStyleXfs count="2">
    <xf numFmtId="0" fontId="0" fillId="0" borderId="0"/>
    <xf numFmtId="38" fontId="1" fillId="0" borderId="0" applyFont="0" applyFill="0" applyBorder="0" applyAlignment="0" applyProtection="0"/>
  </cellStyleXfs>
  <cellXfs count="140">
    <xf numFmtId="0" fontId="0" fillId="0" borderId="0" xfId="0"/>
    <xf numFmtId="0" fontId="2" fillId="0" borderId="0" xfId="0" applyFont="1"/>
    <xf numFmtId="0" fontId="2" fillId="0" borderId="0" xfId="0" applyFont="1" applyAlignment="1">
      <alignment horizontal="center"/>
    </xf>
    <xf numFmtId="176" fontId="2" fillId="0" borderId="0" xfId="0" applyNumberFormat="1" applyFont="1"/>
    <xf numFmtId="0" fontId="2" fillId="0" borderId="0" xfId="0" applyFont="1" applyAlignment="1">
      <alignment horizontal="right"/>
    </xf>
    <xf numFmtId="0" fontId="2" fillId="0" borderId="0" xfId="0" quotePrefix="1" applyFont="1"/>
    <xf numFmtId="0" fontId="2" fillId="0" borderId="1" xfId="0" applyFont="1" applyBorder="1" applyAlignment="1">
      <alignment horizontal="center"/>
    </xf>
    <xf numFmtId="0" fontId="2" fillId="0" borderId="1" xfId="0" applyFont="1" applyBorder="1"/>
    <xf numFmtId="178" fontId="2" fillId="0" borderId="1" xfId="0" applyNumberFormat="1" applyFont="1" applyBorder="1" applyAlignment="1">
      <alignment horizontal="right"/>
    </xf>
    <xf numFmtId="0" fontId="2" fillId="0" borderId="2" xfId="0" applyFont="1" applyBorder="1"/>
    <xf numFmtId="0" fontId="2" fillId="0" borderId="0" xfId="0" applyFont="1" applyBorder="1"/>
    <xf numFmtId="0" fontId="2" fillId="0" borderId="0" xfId="0" applyFont="1" applyAlignment="1">
      <alignment horizontal="left" indent="2"/>
    </xf>
    <xf numFmtId="178" fontId="2" fillId="0" borderId="0" xfId="0" applyNumberFormat="1" applyFont="1" applyBorder="1"/>
    <xf numFmtId="0" fontId="2" fillId="0" borderId="0" xfId="0" applyFont="1" applyBorder="1" applyAlignment="1">
      <alignment horizontal="center"/>
    </xf>
    <xf numFmtId="0" fontId="2" fillId="0" borderId="0" xfId="0" applyFont="1" applyBorder="1" applyAlignment="1">
      <alignment horizontal="center" wrapText="1"/>
    </xf>
    <xf numFmtId="0" fontId="4" fillId="0" borderId="0" xfId="0" applyFont="1"/>
    <xf numFmtId="0" fontId="4" fillId="0" borderId="0" xfId="0" quotePrefix="1" applyFont="1"/>
    <xf numFmtId="176" fontId="2" fillId="2" borderId="3" xfId="0" applyNumberFormat="1" applyFont="1" applyFill="1" applyBorder="1"/>
    <xf numFmtId="0" fontId="2" fillId="2" borderId="3" xfId="0" applyFont="1" applyFill="1" applyBorder="1"/>
    <xf numFmtId="0" fontId="2" fillId="2" borderId="0" xfId="0" applyFont="1" applyFill="1"/>
    <xf numFmtId="0" fontId="2" fillId="2" borderId="1" xfId="0" applyFont="1" applyFill="1" applyBorder="1"/>
    <xf numFmtId="179" fontId="2" fillId="2" borderId="1" xfId="0" applyNumberFormat="1" applyFont="1" applyFill="1" applyBorder="1"/>
    <xf numFmtId="180" fontId="2" fillId="2" borderId="1" xfId="0" applyNumberFormat="1" applyFont="1" applyFill="1" applyBorder="1"/>
    <xf numFmtId="2" fontId="2" fillId="2" borderId="1" xfId="0" applyNumberFormat="1" applyFont="1" applyFill="1" applyBorder="1"/>
    <xf numFmtId="0" fontId="2" fillId="2" borderId="1" xfId="0" quotePrefix="1" applyFont="1" applyFill="1" applyBorder="1"/>
    <xf numFmtId="177" fontId="2" fillId="2" borderId="1" xfId="0" applyNumberFormat="1" applyFont="1" applyFill="1" applyBorder="1" applyAlignment="1">
      <alignment horizontal="right"/>
    </xf>
    <xf numFmtId="180" fontId="2" fillId="2" borderId="1" xfId="0" quotePrefix="1" applyNumberFormat="1" applyFont="1" applyFill="1" applyBorder="1"/>
    <xf numFmtId="183" fontId="2" fillId="2" borderId="1" xfId="0" applyNumberFormat="1" applyFont="1" applyFill="1" applyBorder="1"/>
    <xf numFmtId="176" fontId="2" fillId="2" borderId="1" xfId="0" applyNumberFormat="1" applyFont="1" applyFill="1" applyBorder="1"/>
    <xf numFmtId="182" fontId="2" fillId="2" borderId="1" xfId="0" applyNumberFormat="1" applyFont="1" applyFill="1" applyBorder="1" applyAlignment="1">
      <alignment horizontal="right"/>
    </xf>
    <xf numFmtId="182" fontId="2" fillId="2" borderId="1" xfId="0" applyNumberFormat="1" applyFont="1" applyFill="1" applyBorder="1"/>
    <xf numFmtId="178" fontId="2" fillId="2" borderId="1" xfId="0" applyNumberFormat="1" applyFont="1" applyFill="1" applyBorder="1"/>
    <xf numFmtId="58" fontId="0" fillId="0" borderId="0" xfId="0" applyNumberFormat="1"/>
    <xf numFmtId="0" fontId="5" fillId="0" borderId="0" xfId="0" applyFont="1" applyAlignment="1">
      <alignment horizontal="left" vertical="center" wrapText="1"/>
    </xf>
    <xf numFmtId="0" fontId="5" fillId="0" borderId="0" xfId="0" applyFont="1" applyAlignment="1">
      <alignment horizontal="left" vertical="center"/>
    </xf>
    <xf numFmtId="38" fontId="5" fillId="0" borderId="0" xfId="1" applyFont="1" applyAlignment="1">
      <alignment horizontal="left" vertical="center" wrapText="1"/>
    </xf>
    <xf numFmtId="0" fontId="8" fillId="0" borderId="0" xfId="0" applyFont="1"/>
    <xf numFmtId="0" fontId="2" fillId="0" borderId="4" xfId="0" applyFont="1" applyBorder="1"/>
    <xf numFmtId="0" fontId="2" fillId="0" borderId="5" xfId="0" applyFont="1" applyBorder="1"/>
    <xf numFmtId="0" fontId="4" fillId="0" borderId="6" xfId="0" applyFont="1" applyBorder="1"/>
    <xf numFmtId="0" fontId="2" fillId="3" borderId="0" xfId="0" applyFont="1" applyFill="1"/>
    <xf numFmtId="0" fontId="2" fillId="2" borderId="7" xfId="0" applyFont="1" applyFill="1" applyBorder="1"/>
    <xf numFmtId="184" fontId="2" fillId="2" borderId="1" xfId="0" applyNumberFormat="1" applyFont="1" applyFill="1" applyBorder="1"/>
    <xf numFmtId="0" fontId="2" fillId="0" borderId="0" xfId="0" applyFont="1" applyAlignment="1">
      <alignment horizontal="left"/>
    </xf>
    <xf numFmtId="0" fontId="2" fillId="0" borderId="1" xfId="0" applyFont="1" applyFill="1" applyBorder="1"/>
    <xf numFmtId="0" fontId="2" fillId="0" borderId="1" xfId="0" applyFont="1" applyFill="1" applyBorder="1" applyAlignment="1">
      <alignment horizontal="center"/>
    </xf>
    <xf numFmtId="0" fontId="2" fillId="0" borderId="1" xfId="0" applyFont="1" applyBorder="1" applyAlignment="1">
      <alignment horizontal="left"/>
    </xf>
    <xf numFmtId="0" fontId="9" fillId="0" borderId="0" xfId="0" applyFont="1"/>
    <xf numFmtId="0" fontId="2" fillId="0" borderId="0" xfId="0" applyFont="1" applyBorder="1" applyAlignment="1">
      <alignment horizontal="left"/>
    </xf>
    <xf numFmtId="0" fontId="2" fillId="0" borderId="0" xfId="0" applyFont="1" applyFill="1" applyBorder="1"/>
    <xf numFmtId="0" fontId="4" fillId="0" borderId="0" xfId="0" applyNumberFormat="1" applyFont="1" applyFill="1"/>
    <xf numFmtId="0" fontId="2" fillId="0" borderId="8" xfId="0" applyFont="1" applyBorder="1"/>
    <xf numFmtId="0" fontId="2" fillId="0" borderId="9" xfId="0" applyFont="1" applyBorder="1"/>
    <xf numFmtId="0" fontId="2" fillId="0" borderId="10" xfId="0" applyFont="1" applyBorder="1"/>
    <xf numFmtId="0" fontId="2" fillId="0" borderId="11" xfId="0" applyFont="1" applyBorder="1" applyAlignment="1">
      <alignment horizontal="right"/>
    </xf>
    <xf numFmtId="0" fontId="2" fillId="2" borderId="12" xfId="0" applyFont="1" applyFill="1" applyBorder="1" applyAlignment="1">
      <alignment horizontal="center"/>
    </xf>
    <xf numFmtId="0" fontId="2" fillId="0" borderId="13" xfId="0" applyFont="1" applyBorder="1"/>
    <xf numFmtId="0" fontId="4" fillId="0" borderId="14" xfId="0" applyFont="1" applyBorder="1"/>
    <xf numFmtId="0" fontId="2" fillId="0" borderId="3" xfId="0" applyFont="1" applyBorder="1" applyAlignment="1">
      <alignment horizontal="left"/>
    </xf>
    <xf numFmtId="0" fontId="2" fillId="0" borderId="2" xfId="0" applyFont="1" applyBorder="1" applyAlignment="1">
      <alignment horizontal="left"/>
    </xf>
    <xf numFmtId="0" fontId="10" fillId="0" borderId="1" xfId="0" applyFont="1" applyBorder="1" applyAlignment="1">
      <alignment horizontal="center"/>
    </xf>
    <xf numFmtId="0" fontId="10" fillId="0" borderId="1" xfId="0" applyFont="1" applyBorder="1"/>
    <xf numFmtId="0" fontId="2" fillId="4" borderId="10" xfId="0" applyFont="1" applyFill="1" applyBorder="1" applyAlignment="1">
      <alignment horizontal="center"/>
    </xf>
    <xf numFmtId="0" fontId="2" fillId="4" borderId="3" xfId="0" applyFont="1" applyFill="1" applyBorder="1"/>
    <xf numFmtId="0" fontId="2" fillId="0" borderId="10" xfId="0" applyFont="1" applyBorder="1" applyAlignment="1">
      <alignment horizontal="left"/>
    </xf>
    <xf numFmtId="179" fontId="2" fillId="2" borderId="15" xfId="0" applyNumberFormat="1" applyFont="1" applyFill="1" applyBorder="1" applyAlignment="1">
      <alignment horizontal="center"/>
    </xf>
    <xf numFmtId="0" fontId="2" fillId="0" borderId="7" xfId="0" applyFont="1" applyBorder="1"/>
    <xf numFmtId="0" fontId="2" fillId="0" borderId="16" xfId="0" applyFont="1" applyBorder="1"/>
    <xf numFmtId="0" fontId="2" fillId="0" borderId="17" xfId="0" applyFont="1" applyBorder="1"/>
    <xf numFmtId="0" fontId="2" fillId="4" borderId="12" xfId="0" applyFont="1" applyFill="1" applyBorder="1"/>
    <xf numFmtId="0" fontId="2" fillId="4" borderId="18" xfId="0" applyFont="1" applyFill="1" applyBorder="1"/>
    <xf numFmtId="0" fontId="2" fillId="0" borderId="10" xfId="0" applyFont="1" applyFill="1" applyBorder="1"/>
    <xf numFmtId="179" fontId="2" fillId="4" borderId="15" xfId="0" applyNumberFormat="1" applyFont="1" applyFill="1" applyBorder="1" applyAlignment="1">
      <alignment horizontal="center"/>
    </xf>
    <xf numFmtId="0" fontId="2" fillId="4" borderId="19" xfId="0" applyFont="1" applyFill="1" applyBorder="1" applyAlignment="1">
      <alignment horizontal="center"/>
    </xf>
    <xf numFmtId="179" fontId="2" fillId="0" borderId="1" xfId="0" applyNumberFormat="1" applyFont="1" applyBorder="1" applyAlignment="1"/>
    <xf numFmtId="0" fontId="2" fillId="0" borderId="1" xfId="0" applyFont="1" applyBorder="1" applyAlignment="1"/>
    <xf numFmtId="0" fontId="2" fillId="0" borderId="20" xfId="0" applyFont="1" applyBorder="1"/>
    <xf numFmtId="0" fontId="2" fillId="0" borderId="3" xfId="0" applyFont="1" applyBorder="1" applyAlignment="1">
      <alignment horizontal="center"/>
    </xf>
    <xf numFmtId="0" fontId="2" fillId="4" borderId="0" xfId="0" applyFont="1" applyFill="1"/>
    <xf numFmtId="0" fontId="2" fillId="0" borderId="21" xfId="0" applyFont="1" applyBorder="1"/>
    <xf numFmtId="0" fontId="2" fillId="0" borderId="11" xfId="0" applyFont="1" applyBorder="1" applyAlignment="1">
      <alignment horizontal="center"/>
    </xf>
    <xf numFmtId="0" fontId="2" fillId="4" borderId="0" xfId="0" applyFont="1" applyFill="1" applyBorder="1"/>
    <xf numFmtId="2" fontId="2" fillId="0" borderId="1" xfId="0" applyNumberFormat="1" applyFont="1" applyBorder="1"/>
    <xf numFmtId="185" fontId="2" fillId="2" borderId="1" xfId="0" quotePrefix="1" applyNumberFormat="1" applyFont="1" applyFill="1" applyBorder="1"/>
    <xf numFmtId="184" fontId="2" fillId="2" borderId="1" xfId="0" applyNumberFormat="1" applyFont="1" applyFill="1" applyBorder="1" applyAlignment="1">
      <alignment horizontal="right"/>
    </xf>
    <xf numFmtId="0" fontId="2" fillId="0" borderId="17" xfId="0" applyFont="1" applyBorder="1" applyAlignment="1">
      <alignment horizontal="center"/>
    </xf>
    <xf numFmtId="181" fontId="5" fillId="0" borderId="22" xfId="0" applyNumberFormat="1" applyFont="1" applyFill="1" applyBorder="1" applyAlignment="1">
      <alignment horizontal="center"/>
    </xf>
    <xf numFmtId="0" fontId="2" fillId="0" borderId="23" xfId="0" applyFont="1" applyBorder="1"/>
    <xf numFmtId="0" fontId="5" fillId="0" borderId="17" xfId="0" applyFont="1" applyFill="1" applyBorder="1" applyAlignment="1">
      <alignment horizontal="center"/>
    </xf>
    <xf numFmtId="0" fontId="2" fillId="0" borderId="24" xfId="0" applyFont="1" applyBorder="1"/>
    <xf numFmtId="0" fontId="2" fillId="0" borderId="23" xfId="0" applyFont="1" applyBorder="1" applyAlignment="1">
      <alignment horizontal="center"/>
    </xf>
    <xf numFmtId="0" fontId="2" fillId="0" borderId="24" xfId="0" applyFont="1" applyBorder="1" applyAlignment="1">
      <alignment horizontal="center"/>
    </xf>
    <xf numFmtId="0" fontId="5" fillId="0" borderId="0" xfId="0" applyFont="1" applyFill="1" applyAlignment="1">
      <alignment horizontal="center"/>
    </xf>
    <xf numFmtId="2" fontId="2" fillId="0" borderId="24" xfId="0" applyNumberFormat="1" applyFont="1" applyBorder="1" applyAlignment="1">
      <alignment horizontal="center"/>
    </xf>
    <xf numFmtId="0" fontId="2" fillId="0" borderId="24" xfId="0" applyFont="1" applyFill="1" applyBorder="1" applyAlignment="1">
      <alignment horizontal="center"/>
    </xf>
    <xf numFmtId="0" fontId="2" fillId="0" borderId="21" xfId="0" applyFont="1" applyBorder="1" applyAlignment="1">
      <alignment horizontal="center"/>
    </xf>
    <xf numFmtId="0" fontId="2" fillId="0" borderId="25" xfId="0" applyFont="1" applyBorder="1" applyAlignment="1">
      <alignment horizontal="center"/>
    </xf>
    <xf numFmtId="186" fontId="2" fillId="2" borderId="3" xfId="0" applyNumberFormat="1" applyFont="1" applyFill="1" applyBorder="1"/>
    <xf numFmtId="0" fontId="14" fillId="0" borderId="0" xfId="0" applyFont="1" applyAlignment="1">
      <alignment horizontal="center"/>
    </xf>
    <xf numFmtId="0" fontId="14" fillId="0" borderId="0" xfId="0" applyFont="1" applyAlignment="1">
      <alignment horizontal="distributed" justifyLastLine="1"/>
    </xf>
    <xf numFmtId="0" fontId="16" fillId="0" borderId="0" xfId="0" applyFont="1" applyAlignment="1">
      <alignment horizontal="center"/>
    </xf>
    <xf numFmtId="0" fontId="17" fillId="0" borderId="0" xfId="0" applyFont="1"/>
    <xf numFmtId="0" fontId="20" fillId="0" borderId="0" xfId="0" applyFont="1" applyAlignment="1">
      <alignment horizontal="left" vertical="center"/>
    </xf>
    <xf numFmtId="0" fontId="16" fillId="0" borderId="0" xfId="0" applyFont="1"/>
    <xf numFmtId="0" fontId="17" fillId="0" borderId="0" xfId="0" quotePrefix="1" applyFont="1" applyBorder="1" applyAlignment="1">
      <alignment horizontal="left"/>
    </xf>
    <xf numFmtId="179" fontId="17" fillId="0" borderId="0" xfId="0" applyNumberFormat="1" applyFont="1"/>
    <xf numFmtId="0" fontId="17" fillId="0" borderId="0" xfId="0" applyFont="1" applyAlignment="1">
      <alignment horizontal="right"/>
    </xf>
    <xf numFmtId="177" fontId="17" fillId="0" borderId="0" xfId="0" applyNumberFormat="1" applyFont="1" applyAlignment="1">
      <alignment horizontal="right"/>
    </xf>
    <xf numFmtId="0" fontId="16" fillId="0" borderId="0" xfId="0" applyFont="1" applyAlignment="1">
      <alignment vertical="center"/>
    </xf>
    <xf numFmtId="0" fontId="17" fillId="0" borderId="0" xfId="0" applyFont="1" applyBorder="1" applyAlignment="1">
      <alignment horizontal="left"/>
    </xf>
    <xf numFmtId="0" fontId="17" fillId="0" borderId="0" xfId="0" applyFont="1" applyBorder="1" applyAlignment="1">
      <alignment horizontal="center"/>
    </xf>
    <xf numFmtId="0" fontId="17" fillId="0" borderId="0" xfId="0" applyFont="1" applyAlignment="1">
      <alignment horizontal="left" indent="1"/>
    </xf>
    <xf numFmtId="0" fontId="17" fillId="0" borderId="0" xfId="0" applyFont="1" applyAlignment="1">
      <alignment horizontal="left" indent="2"/>
    </xf>
    <xf numFmtId="0" fontId="21" fillId="0" borderId="0" xfId="0" applyFont="1" applyAlignment="1">
      <alignment horizontal="right"/>
    </xf>
    <xf numFmtId="0" fontId="0" fillId="0" borderId="0" xfId="0" quotePrefix="1"/>
    <xf numFmtId="0" fontId="0" fillId="0" borderId="1" xfId="0" applyBorder="1"/>
    <xf numFmtId="180" fontId="0" fillId="0" borderId="1" xfId="0" applyNumberFormat="1" applyBorder="1" applyAlignment="1">
      <alignment horizontal="center"/>
    </xf>
    <xf numFmtId="0" fontId="2" fillId="0" borderId="21" xfId="0" applyFont="1" applyBorder="1" applyAlignment="1">
      <alignment horizontal="distributed" justifyLastLine="1"/>
    </xf>
    <xf numFmtId="0" fontId="16" fillId="0" borderId="21" xfId="0" applyFont="1" applyBorder="1"/>
    <xf numFmtId="0" fontId="15" fillId="0" borderId="21" xfId="0" applyFont="1" applyBorder="1"/>
    <xf numFmtId="0" fontId="16" fillId="0" borderId="21" xfId="0" applyFont="1" applyBorder="1" applyAlignment="1">
      <alignment horizontal="center"/>
    </xf>
    <xf numFmtId="2" fontId="17" fillId="0" borderId="0" xfId="0" applyNumberFormat="1" applyFont="1" applyAlignment="1">
      <alignment horizontal="center"/>
    </xf>
    <xf numFmtId="0" fontId="17" fillId="0" borderId="0" xfId="0" applyFont="1" applyAlignment="1">
      <alignment horizontal="center"/>
    </xf>
    <xf numFmtId="38" fontId="7" fillId="0" borderId="0" xfId="1" applyFont="1" applyAlignment="1">
      <alignment horizontal="left" vertical="center" wrapText="1"/>
    </xf>
    <xf numFmtId="0" fontId="6" fillId="0" borderId="0" xfId="0" applyFont="1" applyAlignment="1">
      <alignment horizontal="left" vertical="center" wrapText="1"/>
    </xf>
    <xf numFmtId="0" fontId="6" fillId="0" borderId="0" xfId="0" applyFont="1" applyAlignment="1">
      <alignment horizontal="left" vertical="center" shrinkToFit="1"/>
    </xf>
    <xf numFmtId="0" fontId="2" fillId="0" borderId="0" xfId="0" applyFont="1" applyAlignment="1">
      <alignment horizontal="center"/>
    </xf>
    <xf numFmtId="0" fontId="11" fillId="0" borderId="3" xfId="0" applyFont="1" applyBorder="1" applyAlignment="1">
      <alignment horizontal="center"/>
    </xf>
    <xf numFmtId="0" fontId="11" fillId="0" borderId="28" xfId="0" applyFont="1" applyBorder="1" applyAlignment="1">
      <alignment horizontal="center"/>
    </xf>
    <xf numFmtId="0" fontId="11" fillId="0" borderId="2" xfId="0" applyFont="1" applyBorder="1" applyAlignment="1">
      <alignment horizontal="center"/>
    </xf>
    <xf numFmtId="0" fontId="2" fillId="0" borderId="4" xfId="0" applyFont="1" applyBorder="1" applyAlignment="1">
      <alignment horizontal="center"/>
    </xf>
    <xf numFmtId="0" fontId="2" fillId="0" borderId="27" xfId="0" applyFont="1" applyBorder="1" applyAlignment="1">
      <alignment horizontal="center"/>
    </xf>
    <xf numFmtId="0" fontId="2" fillId="0" borderId="1" xfId="0" applyFont="1" applyBorder="1" applyAlignment="1">
      <alignment horizontal="center"/>
    </xf>
    <xf numFmtId="0" fontId="2" fillId="0" borderId="0" xfId="0" applyFont="1" applyAlignment="1">
      <alignment horizontal="left"/>
    </xf>
    <xf numFmtId="0" fontId="2" fillId="0" borderId="1" xfId="0" applyFont="1" applyBorder="1" applyAlignment="1">
      <alignment horizontal="left"/>
    </xf>
    <xf numFmtId="0" fontId="2" fillId="0" borderId="1" xfId="0" applyFont="1" applyBorder="1" applyAlignment="1">
      <alignment horizontal="right"/>
    </xf>
    <xf numFmtId="0" fontId="2" fillId="0" borderId="26" xfId="0" applyFont="1" applyBorder="1" applyAlignment="1">
      <alignment horizontal="center"/>
    </xf>
    <xf numFmtId="0" fontId="2" fillId="0" borderId="12" xfId="0" applyFont="1" applyBorder="1" applyAlignment="1">
      <alignment horizontal="center"/>
    </xf>
    <xf numFmtId="0" fontId="2" fillId="0" borderId="0" xfId="0" applyFont="1" applyAlignment="1">
      <alignment shrinkToFit="1"/>
    </xf>
    <xf numFmtId="0" fontId="13" fillId="0" borderId="0" xfId="0" applyFont="1" applyAlignment="1">
      <alignment horizontal="distributed" justifyLastLine="1"/>
    </xf>
  </cellXfs>
  <cellStyles count="2">
    <cellStyle name="桁区切り" xfId="1" builtinId="6"/>
    <cellStyle name="標準" xfId="0" builtinId="0"/>
  </cellStyles>
  <dxfs count="0"/>
  <tableStyles count="0" defaultTableStyle="TableStyleMedium9" defaultPivotStyle="PivotStyleLight16"/>
  <colors>
    <mruColors>
      <color rgb="FF99FFCC"/>
      <color rgb="FF99FF99"/>
      <color rgb="FF0033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1</xdr:col>
      <xdr:colOff>9525</xdr:colOff>
      <xdr:row>0</xdr:row>
      <xdr:rowOff>0</xdr:rowOff>
    </xdr:from>
    <xdr:to>
      <xdr:col>6</xdr:col>
      <xdr:colOff>666750</xdr:colOff>
      <xdr:row>20</xdr:row>
      <xdr:rowOff>66675</xdr:rowOff>
    </xdr:to>
    <xdr:pic>
      <xdr:nvPicPr>
        <xdr:cNvPr id="2071" name="Picture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1925" y="0"/>
          <a:ext cx="4772025" cy="3495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10</xdr:row>
      <xdr:rowOff>114300</xdr:rowOff>
    </xdr:from>
    <xdr:to>
      <xdr:col>29</xdr:col>
      <xdr:colOff>419100</xdr:colOff>
      <xdr:row>40</xdr:row>
      <xdr:rowOff>57150</xdr:rowOff>
    </xdr:to>
    <xdr:pic>
      <xdr:nvPicPr>
        <xdr:cNvPr id="3552" name="Picture 38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0236" t="38730" r="35204" b="40253"/>
        <a:stretch>
          <a:fillRect/>
        </a:stretch>
      </xdr:blipFill>
      <xdr:spPr bwMode="auto">
        <a:xfrm>
          <a:off x="0" y="2590800"/>
          <a:ext cx="20307300" cy="7372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37</xdr:row>
      <xdr:rowOff>38100</xdr:rowOff>
    </xdr:from>
    <xdr:to>
      <xdr:col>31</xdr:col>
      <xdr:colOff>304800</xdr:colOff>
      <xdr:row>90</xdr:row>
      <xdr:rowOff>0</xdr:rowOff>
    </xdr:to>
    <xdr:pic>
      <xdr:nvPicPr>
        <xdr:cNvPr id="3553" name="Picture 38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l="37646" t="32042" r="15782" b="24519"/>
        <a:stretch>
          <a:fillRect/>
        </a:stretch>
      </xdr:blipFill>
      <xdr:spPr bwMode="auto">
        <a:xfrm>
          <a:off x="0" y="9201150"/>
          <a:ext cx="21564600" cy="13087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114300</xdr:colOff>
      <xdr:row>1</xdr:row>
      <xdr:rowOff>76200</xdr:rowOff>
    </xdr:from>
    <xdr:to>
      <xdr:col>24</xdr:col>
      <xdr:colOff>628650</xdr:colOff>
      <xdr:row>7</xdr:row>
      <xdr:rowOff>114300</xdr:rowOff>
    </xdr:to>
    <xdr:sp macro="" textlink="">
      <xdr:nvSpPr>
        <xdr:cNvPr id="3455" name="WordArt 383"/>
        <xdr:cNvSpPr>
          <a:spLocks noChangeArrowheads="1" noChangeShapeType="1" noTextEdit="1"/>
        </xdr:cNvSpPr>
      </xdr:nvSpPr>
      <xdr:spPr bwMode="auto">
        <a:xfrm>
          <a:off x="800100" y="323850"/>
          <a:ext cx="16287750" cy="1524000"/>
        </a:xfrm>
        <a:prstGeom prst="rect">
          <a:avLst/>
        </a:prstGeom>
      </xdr:spPr>
      <xdr:txBody>
        <a:bodyPr wrap="none" fromWordArt="1">
          <a:prstTxWarp prst="textPlain">
            <a:avLst>
              <a:gd name="adj" fmla="val 50000"/>
            </a:avLst>
          </a:prstTxWarp>
        </a:bodyPr>
        <a:lstStyle/>
        <a:p>
          <a:pPr algn="ctr" rtl="0">
            <a:lnSpc>
              <a:spcPts val="6900"/>
            </a:lnSpc>
          </a:pPr>
          <a:r>
            <a:rPr lang="el-GR" altLang="ja-JP" sz="6000" kern="10" spc="0">
              <a:ln w="9525">
                <a:solidFill>
                  <a:srgbClr val="000000"/>
                </a:solidFill>
                <a:round/>
                <a:headEnd/>
                <a:tailEnd/>
              </a:ln>
              <a:solidFill>
                <a:srgbClr val="000000"/>
              </a:solidFill>
              <a:effectLst/>
              <a:latin typeface="ＭＳ Ｐゴシック"/>
              <a:ea typeface="ＭＳ Ｐゴシック"/>
            </a:rPr>
            <a:t>λ</a:t>
          </a:r>
          <a:r>
            <a:rPr lang="ja-JP" altLang="en-US" sz="6000" kern="10" spc="0">
              <a:ln w="9525">
                <a:solidFill>
                  <a:srgbClr val="000000"/>
                </a:solidFill>
                <a:round/>
                <a:headEnd/>
                <a:tailEnd/>
              </a:ln>
              <a:solidFill>
                <a:srgbClr val="000000"/>
              </a:solidFill>
              <a:effectLst/>
              <a:latin typeface="ＭＳ Ｐゴシック"/>
              <a:ea typeface="ＭＳ Ｐゴシック"/>
            </a:rPr>
            <a:t>型木製ダムの安定計算です。</a:t>
          </a:r>
        </a:p>
        <a:p>
          <a:pPr algn="ctr" rtl="0">
            <a:lnSpc>
              <a:spcPts val="6800"/>
            </a:lnSpc>
          </a:pPr>
          <a:r>
            <a:rPr lang="ja-JP" altLang="en-US" sz="6000" kern="10" spc="0">
              <a:ln w="9525">
                <a:solidFill>
                  <a:srgbClr val="000000"/>
                </a:solidFill>
                <a:round/>
                <a:headEnd/>
                <a:tailEnd/>
              </a:ln>
              <a:solidFill>
                <a:srgbClr val="000000"/>
              </a:solidFill>
              <a:effectLst/>
              <a:latin typeface="ＭＳ Ｐゴシック"/>
              <a:ea typeface="ＭＳ Ｐゴシック"/>
            </a:rPr>
            <a:t>部材寸法や積む段数、等各寸法を入力してください</a:t>
          </a:r>
        </a:p>
      </xdr:txBody>
    </xdr:sp>
    <xdr:clientData/>
  </xdr:twoCellAnchor>
  <xdr:twoCellAnchor>
    <xdr:from>
      <xdr:col>0</xdr:col>
      <xdr:colOff>647700</xdr:colOff>
      <xdr:row>40</xdr:row>
      <xdr:rowOff>152400</xdr:rowOff>
    </xdr:from>
    <xdr:to>
      <xdr:col>24</xdr:col>
      <xdr:colOff>476250</xdr:colOff>
      <xdr:row>46</xdr:row>
      <xdr:rowOff>190500</xdr:rowOff>
    </xdr:to>
    <xdr:sp macro="" textlink="">
      <xdr:nvSpPr>
        <xdr:cNvPr id="3456" name="WordArt 384"/>
        <xdr:cNvSpPr>
          <a:spLocks noChangeArrowheads="1" noChangeShapeType="1" noTextEdit="1"/>
        </xdr:cNvSpPr>
      </xdr:nvSpPr>
      <xdr:spPr bwMode="auto">
        <a:xfrm>
          <a:off x="647700" y="10058400"/>
          <a:ext cx="16287750" cy="1524000"/>
        </a:xfrm>
        <a:prstGeom prst="rect">
          <a:avLst/>
        </a:prstGeom>
      </xdr:spPr>
      <xdr:txBody>
        <a:bodyPr wrap="none" fromWordArt="1">
          <a:prstTxWarp prst="textPlain">
            <a:avLst>
              <a:gd name="adj" fmla="val 50000"/>
            </a:avLst>
          </a:prstTxWarp>
        </a:bodyPr>
        <a:lstStyle/>
        <a:p>
          <a:pPr algn="ctr" rtl="0"/>
          <a:r>
            <a:rPr lang="ja-JP" altLang="en-US" sz="6000" kern="10" spc="0">
              <a:ln w="9525">
                <a:solidFill>
                  <a:srgbClr val="000000"/>
                </a:solidFill>
                <a:round/>
                <a:headEnd/>
                <a:tailEnd/>
              </a:ln>
              <a:solidFill>
                <a:srgbClr val="000000"/>
              </a:solidFill>
              <a:effectLst/>
              <a:latin typeface="ＭＳ Ｐゴシック"/>
              <a:ea typeface="ＭＳ Ｐゴシック"/>
            </a:rPr>
            <a:t>積み段数、伸ばす段数の考え方は下図のとおり</a:t>
          </a:r>
        </a:p>
      </xdr:txBody>
    </xdr:sp>
    <xdr:clientData/>
  </xdr:twoCellAnchor>
  <xdr:twoCellAnchor>
    <xdr:from>
      <xdr:col>1</xdr:col>
      <xdr:colOff>95250</xdr:colOff>
      <xdr:row>89</xdr:row>
      <xdr:rowOff>190500</xdr:rowOff>
    </xdr:from>
    <xdr:to>
      <xdr:col>24</xdr:col>
      <xdr:colOff>609600</xdr:colOff>
      <xdr:row>95</xdr:row>
      <xdr:rowOff>228600</xdr:rowOff>
    </xdr:to>
    <xdr:sp macro="" textlink="">
      <xdr:nvSpPr>
        <xdr:cNvPr id="3460" name="WordArt 388"/>
        <xdr:cNvSpPr>
          <a:spLocks noChangeArrowheads="1" noChangeShapeType="1" noTextEdit="1"/>
        </xdr:cNvSpPr>
      </xdr:nvSpPr>
      <xdr:spPr bwMode="auto">
        <a:xfrm>
          <a:off x="781050" y="22231350"/>
          <a:ext cx="16287750" cy="1524000"/>
        </a:xfrm>
        <a:prstGeom prst="rect">
          <a:avLst/>
        </a:prstGeom>
      </xdr:spPr>
      <xdr:txBody>
        <a:bodyPr wrap="none" fromWordArt="1">
          <a:prstTxWarp prst="textPlain">
            <a:avLst>
              <a:gd name="adj" fmla="val 50000"/>
            </a:avLst>
          </a:prstTxWarp>
        </a:bodyPr>
        <a:lstStyle/>
        <a:p>
          <a:pPr algn="ctr" rtl="0"/>
          <a:r>
            <a:rPr lang="ja-JP" altLang="en-US" sz="6000" kern="10" spc="0">
              <a:ln w="9525">
                <a:solidFill>
                  <a:srgbClr val="000000"/>
                </a:solidFill>
                <a:round/>
                <a:headEnd/>
                <a:tailEnd/>
              </a:ln>
              <a:solidFill>
                <a:srgbClr val="000000"/>
              </a:solidFill>
              <a:effectLst/>
              <a:latin typeface="ＭＳ Ｐゴシック"/>
              <a:ea typeface="ＭＳ Ｐゴシック"/>
            </a:rPr>
            <a:t>Ｐ</a:t>
          </a:r>
          <a:r>
            <a:rPr lang="en-US" altLang="ja-JP" sz="6000" kern="10" spc="0">
              <a:ln w="9525">
                <a:solidFill>
                  <a:srgbClr val="000000"/>
                </a:solidFill>
                <a:round/>
                <a:headEnd/>
                <a:tailEnd/>
              </a:ln>
              <a:solidFill>
                <a:srgbClr val="000000"/>
              </a:solidFill>
              <a:effectLst/>
              <a:latin typeface="ＭＳ Ｐゴシック"/>
              <a:ea typeface="ＭＳ Ｐゴシック"/>
            </a:rPr>
            <a:t>1</a:t>
          </a:r>
          <a:r>
            <a:rPr lang="ja-JP" altLang="en-US" sz="6000" kern="10" spc="0">
              <a:ln w="9525">
                <a:solidFill>
                  <a:srgbClr val="000000"/>
                </a:solidFill>
                <a:round/>
                <a:headEnd/>
                <a:tailEnd/>
              </a:ln>
              <a:solidFill>
                <a:srgbClr val="000000"/>
              </a:solidFill>
              <a:effectLst/>
              <a:latin typeface="ＭＳ Ｐゴシック"/>
              <a:ea typeface="ＭＳ Ｐゴシック"/>
            </a:rPr>
            <a:t>のシートを選択して薄緑のセルに数値を入力してください。</a:t>
          </a:r>
        </a:p>
      </xdr:txBody>
    </xdr:sp>
    <xdr:clientData/>
  </xdr:twoCellAnchor>
  <xdr:twoCellAnchor>
    <xdr:from>
      <xdr:col>0</xdr:col>
      <xdr:colOff>571500</xdr:colOff>
      <xdr:row>100</xdr:row>
      <xdr:rowOff>114300</xdr:rowOff>
    </xdr:from>
    <xdr:to>
      <xdr:col>40</xdr:col>
      <xdr:colOff>581025</xdr:colOff>
      <xdr:row>103</xdr:row>
      <xdr:rowOff>57150</xdr:rowOff>
    </xdr:to>
    <xdr:sp macro="" textlink="">
      <xdr:nvSpPr>
        <xdr:cNvPr id="3461" name="WordArt 389"/>
        <xdr:cNvSpPr>
          <a:spLocks noChangeArrowheads="1" noChangeShapeType="1" noTextEdit="1"/>
        </xdr:cNvSpPr>
      </xdr:nvSpPr>
      <xdr:spPr bwMode="auto">
        <a:xfrm>
          <a:off x="571500" y="24879300"/>
          <a:ext cx="27441525" cy="685800"/>
        </a:xfrm>
        <a:prstGeom prst="rect">
          <a:avLst/>
        </a:prstGeom>
      </xdr:spPr>
      <xdr:txBody>
        <a:bodyPr wrap="none" fromWordArt="1">
          <a:prstTxWarp prst="textPlain">
            <a:avLst>
              <a:gd name="adj" fmla="val 50000"/>
            </a:avLst>
          </a:prstTxWarp>
        </a:bodyPr>
        <a:lstStyle/>
        <a:p>
          <a:pPr algn="ctr" rtl="0"/>
          <a:r>
            <a:rPr lang="ja-JP" altLang="en-US" sz="5400" kern="10" spc="0">
              <a:ln w="9525">
                <a:solidFill>
                  <a:srgbClr val="000000"/>
                </a:solidFill>
                <a:round/>
                <a:headEnd/>
                <a:tailEnd/>
              </a:ln>
              <a:solidFill>
                <a:srgbClr val="000000"/>
              </a:solidFill>
              <a:effectLst/>
              <a:latin typeface="ＭＳ Ｐゴシック"/>
              <a:ea typeface="ＭＳ Ｐゴシック"/>
            </a:rPr>
            <a:t>水色のセルは基本的に数値を入れない箇所と考えますが、内容をよく見て変更してもよい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457200</xdr:colOff>
      <xdr:row>3</xdr:row>
      <xdr:rowOff>0</xdr:rowOff>
    </xdr:from>
    <xdr:to>
      <xdr:col>6</xdr:col>
      <xdr:colOff>0</xdr:colOff>
      <xdr:row>10</xdr:row>
      <xdr:rowOff>0</xdr:rowOff>
    </xdr:to>
    <xdr:sp macro="" textlink="">
      <xdr:nvSpPr>
        <xdr:cNvPr id="5217" name="Rectangle 1"/>
        <xdr:cNvSpPr>
          <a:spLocks noChangeArrowheads="1"/>
        </xdr:cNvSpPr>
      </xdr:nvSpPr>
      <xdr:spPr bwMode="auto">
        <a:xfrm>
          <a:off x="2895600" y="742950"/>
          <a:ext cx="342900" cy="173355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19050</xdr:colOff>
      <xdr:row>3</xdr:row>
      <xdr:rowOff>0</xdr:rowOff>
    </xdr:from>
    <xdr:to>
      <xdr:col>5</xdr:col>
      <xdr:colOff>476250</xdr:colOff>
      <xdr:row>10</xdr:row>
      <xdr:rowOff>19050</xdr:rowOff>
    </xdr:to>
    <xdr:sp macro="" textlink="">
      <xdr:nvSpPr>
        <xdr:cNvPr id="5218" name="Line 2"/>
        <xdr:cNvSpPr>
          <a:spLocks noChangeShapeType="1"/>
        </xdr:cNvSpPr>
      </xdr:nvSpPr>
      <xdr:spPr bwMode="auto">
        <a:xfrm flipH="1">
          <a:off x="514350" y="742950"/>
          <a:ext cx="2400300" cy="17526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171450</xdr:colOff>
      <xdr:row>10</xdr:row>
      <xdr:rowOff>19050</xdr:rowOff>
    </xdr:from>
    <xdr:to>
      <xdr:col>12</xdr:col>
      <xdr:colOff>85725</xdr:colOff>
      <xdr:row>12</xdr:row>
      <xdr:rowOff>19050</xdr:rowOff>
    </xdr:to>
    <xdr:sp macro="" textlink="">
      <xdr:nvSpPr>
        <xdr:cNvPr id="5219" name="AutoShape 3"/>
        <xdr:cNvSpPr>
          <a:spLocks noChangeArrowheads="1"/>
        </xdr:cNvSpPr>
      </xdr:nvSpPr>
      <xdr:spPr bwMode="auto">
        <a:xfrm rot="10800000" flipV="1">
          <a:off x="7172325" y="2495550"/>
          <a:ext cx="600075" cy="495300"/>
        </a:xfrm>
        <a:prstGeom prst="curvedUpArrow">
          <a:avLst>
            <a:gd name="adj1" fmla="val 22952"/>
            <a:gd name="adj2" fmla="val 48462"/>
            <a:gd name="adj3" fmla="val 33333"/>
          </a:avLst>
        </a:prstGeom>
        <a:solidFill>
          <a:srgbClr val="FFFFFF"/>
        </a:solidFill>
        <a:ln w="9525">
          <a:solidFill>
            <a:srgbClr val="000000"/>
          </a:solidFill>
          <a:miter lim="800000"/>
          <a:headEnd/>
          <a:tailEnd/>
        </a:ln>
      </xdr:spPr>
    </xdr:sp>
    <xdr:clientData/>
  </xdr:twoCellAnchor>
  <xdr:twoCellAnchor>
    <xdr:from>
      <xdr:col>10</xdr:col>
      <xdr:colOff>209550</xdr:colOff>
      <xdr:row>10</xdr:row>
      <xdr:rowOff>19050</xdr:rowOff>
    </xdr:from>
    <xdr:to>
      <xdr:col>12</xdr:col>
      <xdr:colOff>76200</xdr:colOff>
      <xdr:row>12</xdr:row>
      <xdr:rowOff>66675</xdr:rowOff>
    </xdr:to>
    <xdr:sp macro="" textlink="">
      <xdr:nvSpPr>
        <xdr:cNvPr id="5220" name="AutoShape 4"/>
        <xdr:cNvSpPr>
          <a:spLocks noChangeArrowheads="1"/>
        </xdr:cNvSpPr>
      </xdr:nvSpPr>
      <xdr:spPr bwMode="auto">
        <a:xfrm rot="10800000" flipV="1">
          <a:off x="6524625" y="2495550"/>
          <a:ext cx="1238250" cy="542925"/>
        </a:xfrm>
        <a:prstGeom prst="curvedUpArrow">
          <a:avLst>
            <a:gd name="adj1" fmla="val 18013"/>
            <a:gd name="adj2" fmla="val 91228"/>
            <a:gd name="adj3" fmla="val 33333"/>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781050</xdr:colOff>
      <xdr:row>10</xdr:row>
      <xdr:rowOff>19050</xdr:rowOff>
    </xdr:from>
    <xdr:to>
      <xdr:col>12</xdr:col>
      <xdr:colOff>9525</xdr:colOff>
      <xdr:row>12</xdr:row>
      <xdr:rowOff>76200</xdr:rowOff>
    </xdr:to>
    <xdr:sp macro="" textlink="">
      <xdr:nvSpPr>
        <xdr:cNvPr id="5221" name="AutoShape 5"/>
        <xdr:cNvSpPr>
          <a:spLocks noChangeArrowheads="1"/>
        </xdr:cNvSpPr>
      </xdr:nvSpPr>
      <xdr:spPr bwMode="auto">
        <a:xfrm rot="10800000" flipV="1">
          <a:off x="5619750" y="2495550"/>
          <a:ext cx="2076450" cy="552450"/>
        </a:xfrm>
        <a:prstGeom prst="curvedUpArrow">
          <a:avLst>
            <a:gd name="adj1" fmla="val 28642"/>
            <a:gd name="adj2" fmla="val 157514"/>
            <a:gd name="adj3" fmla="val 40625"/>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161925</xdr:colOff>
      <xdr:row>12</xdr:row>
      <xdr:rowOff>95250</xdr:rowOff>
    </xdr:from>
    <xdr:to>
      <xdr:col>9</xdr:col>
      <xdr:colOff>600075</xdr:colOff>
      <xdr:row>14</xdr:row>
      <xdr:rowOff>161925</xdr:rowOff>
    </xdr:to>
    <xdr:sp macro="" textlink="">
      <xdr:nvSpPr>
        <xdr:cNvPr id="5222" name="Line 6"/>
        <xdr:cNvSpPr>
          <a:spLocks noChangeShapeType="1"/>
        </xdr:cNvSpPr>
      </xdr:nvSpPr>
      <xdr:spPr bwMode="auto">
        <a:xfrm flipV="1">
          <a:off x="5000625" y="3067050"/>
          <a:ext cx="1228725" cy="56197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2:H38"/>
  <sheetViews>
    <sheetView tabSelected="1" view="pageBreakPreview" topLeftCell="A13" zoomScale="130" zoomScaleNormal="100" zoomScaleSheetLayoutView="130" workbookViewId="0">
      <selection activeCell="B25" sqref="B25:G26"/>
    </sheetView>
  </sheetViews>
  <sheetFormatPr defaultRowHeight="13.5" x14ac:dyDescent="0.15"/>
  <cols>
    <col min="1" max="1" width="2" customWidth="1"/>
    <col min="2" max="2" width="18" bestFit="1" customWidth="1"/>
    <col min="8" max="8" width="1.375" customWidth="1"/>
  </cols>
  <sheetData>
    <row r="22" spans="2:8" x14ac:dyDescent="0.15">
      <c r="B22" t="s">
        <v>163</v>
      </c>
    </row>
    <row r="23" spans="2:8" x14ac:dyDescent="0.15">
      <c r="B23" t="s">
        <v>99</v>
      </c>
    </row>
    <row r="24" spans="2:8" x14ac:dyDescent="0.15">
      <c r="B24" s="32">
        <v>41361</v>
      </c>
    </row>
    <row r="25" spans="2:8" x14ac:dyDescent="0.15">
      <c r="B25" s="124" t="s">
        <v>164</v>
      </c>
      <c r="C25" s="124"/>
      <c r="D25" s="124"/>
      <c r="E25" s="124"/>
      <c r="F25" s="124"/>
      <c r="G25" s="124"/>
      <c r="H25" s="33"/>
    </row>
    <row r="26" spans="2:8" x14ac:dyDescent="0.15">
      <c r="B26" s="124"/>
      <c r="C26" s="124"/>
      <c r="D26" s="124"/>
      <c r="E26" s="124"/>
      <c r="F26" s="124"/>
      <c r="G26" s="124"/>
      <c r="H26" s="33"/>
    </row>
    <row r="27" spans="2:8" x14ac:dyDescent="0.15">
      <c r="B27" s="125" t="s">
        <v>52</v>
      </c>
      <c r="C27" s="125"/>
      <c r="D27" s="125"/>
      <c r="E27" s="125"/>
      <c r="F27" s="125"/>
      <c r="G27" s="125"/>
      <c r="H27" s="34"/>
    </row>
    <row r="28" spans="2:8" x14ac:dyDescent="0.15">
      <c r="B28" s="124" t="s">
        <v>165</v>
      </c>
      <c r="C28" s="124"/>
      <c r="D28" s="124"/>
      <c r="E28" s="124"/>
      <c r="F28" s="124"/>
      <c r="G28" s="124"/>
      <c r="H28" s="33"/>
    </row>
    <row r="29" spans="2:8" x14ac:dyDescent="0.15">
      <c r="B29" s="124"/>
      <c r="C29" s="124"/>
      <c r="D29" s="124"/>
      <c r="E29" s="124"/>
      <c r="F29" s="124"/>
      <c r="G29" s="124"/>
      <c r="H29" s="33"/>
    </row>
    <row r="30" spans="2:8" x14ac:dyDescent="0.15">
      <c r="B30" s="124"/>
      <c r="C30" s="124"/>
      <c r="D30" s="124"/>
      <c r="E30" s="124"/>
      <c r="F30" s="124"/>
      <c r="G30" s="124"/>
      <c r="H30" s="33"/>
    </row>
    <row r="31" spans="2:8" x14ac:dyDescent="0.15">
      <c r="B31" s="124"/>
      <c r="C31" s="124"/>
      <c r="D31" s="124"/>
      <c r="E31" s="124"/>
      <c r="F31" s="124"/>
      <c r="G31" s="124"/>
      <c r="H31" s="33"/>
    </row>
    <row r="32" spans="2:8" ht="25.5" customHeight="1" x14ac:dyDescent="0.15">
      <c r="B32" s="124"/>
      <c r="C32" s="124"/>
      <c r="D32" s="124"/>
      <c r="E32" s="124"/>
      <c r="F32" s="124"/>
      <c r="G32" s="124"/>
      <c r="H32" s="33"/>
    </row>
    <row r="33" spans="2:8" x14ac:dyDescent="0.15">
      <c r="B33" s="124" t="s">
        <v>53</v>
      </c>
      <c r="C33" s="124"/>
      <c r="D33" s="124"/>
      <c r="E33" s="124"/>
      <c r="F33" s="124"/>
      <c r="G33" s="124"/>
      <c r="H33" s="33"/>
    </row>
    <row r="34" spans="2:8" x14ac:dyDescent="0.15">
      <c r="B34" s="124"/>
      <c r="C34" s="124"/>
      <c r="D34" s="124"/>
      <c r="E34" s="124"/>
      <c r="F34" s="124"/>
      <c r="G34" s="124"/>
      <c r="H34" s="33"/>
    </row>
    <row r="35" spans="2:8" x14ac:dyDescent="0.15">
      <c r="B35" s="124"/>
      <c r="C35" s="124"/>
      <c r="D35" s="124"/>
      <c r="E35" s="124"/>
      <c r="F35" s="124"/>
      <c r="G35" s="124"/>
      <c r="H35" s="33"/>
    </row>
    <row r="36" spans="2:8" x14ac:dyDescent="0.15">
      <c r="B36" s="123" t="s">
        <v>54</v>
      </c>
      <c r="C36" s="123"/>
      <c r="D36" s="123"/>
      <c r="E36" s="123"/>
      <c r="F36" s="123"/>
      <c r="G36" s="123"/>
      <c r="H36" s="35"/>
    </row>
    <row r="37" spans="2:8" x14ac:dyDescent="0.15">
      <c r="B37" s="123"/>
      <c r="C37" s="123"/>
      <c r="D37" s="123"/>
      <c r="E37" s="123"/>
      <c r="F37" s="123"/>
      <c r="G37" s="123"/>
      <c r="H37" s="35"/>
    </row>
    <row r="38" spans="2:8" x14ac:dyDescent="0.15">
      <c r="B38" t="s">
        <v>55</v>
      </c>
    </row>
  </sheetData>
  <mergeCells count="5">
    <mergeCell ref="B36:G37"/>
    <mergeCell ref="B25:G26"/>
    <mergeCell ref="B27:G27"/>
    <mergeCell ref="B28:G32"/>
    <mergeCell ref="B33:G35"/>
  </mergeCells>
  <phoneticPr fontId="3"/>
  <printOptions horizontalCentered="1" verticalCentered="1"/>
  <pageMargins left="0.78740157480314965" right="0.78740157480314965" top="0.78740157480314965" bottom="0.78740157480314965" header="0.51181102362204722" footer="0.51181102362204722"/>
  <pageSetup paperSize="9" scale="129" orientation="portrait" horizontalDpi="720" verticalDpi="72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105"/>
  <sheetViews>
    <sheetView view="pageBreakPreview" topLeftCell="A22" zoomScale="25" zoomScaleNormal="25" zoomScaleSheetLayoutView="70" workbookViewId="0">
      <selection activeCell="A2" sqref="A2"/>
    </sheetView>
  </sheetViews>
  <sheetFormatPr defaultRowHeight="20.100000000000001" customHeight="1" x14ac:dyDescent="0.2"/>
  <cols>
    <col min="1" max="16384" width="9" style="1"/>
  </cols>
  <sheetData>
    <row r="1" spans="1:1" ht="20.100000000000001" customHeight="1" x14ac:dyDescent="0.2">
      <c r="A1" s="36"/>
    </row>
    <row r="22" spans="4:5" ht="20.100000000000001" customHeight="1" x14ac:dyDescent="0.2">
      <c r="D22" s="126"/>
      <c r="E22" s="126"/>
    </row>
    <row r="91" spans="1:26" ht="20.100000000000001" customHeight="1" x14ac:dyDescent="0.2">
      <c r="A91" s="78"/>
      <c r="B91" s="78"/>
      <c r="C91" s="78"/>
      <c r="D91" s="78"/>
      <c r="E91" s="78"/>
      <c r="F91" s="78"/>
      <c r="G91" s="78"/>
      <c r="H91" s="78"/>
      <c r="I91" s="78"/>
      <c r="J91" s="78"/>
      <c r="K91" s="78"/>
      <c r="L91" s="78"/>
      <c r="M91" s="78"/>
      <c r="N91" s="78"/>
      <c r="O91" s="78"/>
      <c r="P91" s="78"/>
      <c r="Q91" s="78"/>
      <c r="R91" s="78"/>
      <c r="S91" s="78"/>
      <c r="T91" s="78"/>
      <c r="U91" s="78"/>
      <c r="V91" s="78"/>
      <c r="W91" s="78"/>
      <c r="X91" s="78"/>
      <c r="Y91" s="78"/>
      <c r="Z91" s="78"/>
    </row>
    <row r="92" spans="1:26" ht="20.100000000000001" customHeight="1" x14ac:dyDescent="0.2">
      <c r="A92" s="78"/>
      <c r="B92" s="78"/>
      <c r="C92" s="78"/>
      <c r="D92" s="78"/>
      <c r="E92" s="78"/>
      <c r="F92" s="78"/>
      <c r="G92" s="78"/>
      <c r="H92" s="78"/>
      <c r="I92" s="78"/>
      <c r="J92" s="78"/>
      <c r="K92" s="78"/>
      <c r="L92" s="78"/>
      <c r="M92" s="78"/>
      <c r="N92" s="78"/>
      <c r="O92" s="78"/>
      <c r="P92" s="78"/>
      <c r="Q92" s="78"/>
      <c r="R92" s="78"/>
      <c r="S92" s="78"/>
      <c r="T92" s="78"/>
      <c r="U92" s="78"/>
      <c r="V92" s="78"/>
      <c r="W92" s="78"/>
      <c r="X92" s="78"/>
      <c r="Y92" s="78"/>
      <c r="Z92" s="78"/>
    </row>
    <row r="93" spans="1:26" ht="20.100000000000001" customHeight="1" x14ac:dyDescent="0.2">
      <c r="A93" s="78"/>
      <c r="B93" s="78"/>
      <c r="C93" s="78"/>
      <c r="D93" s="78"/>
      <c r="E93" s="78"/>
      <c r="F93" s="78"/>
      <c r="G93" s="78"/>
      <c r="H93" s="78"/>
      <c r="I93" s="78"/>
      <c r="J93" s="78"/>
      <c r="K93" s="78"/>
      <c r="L93" s="78"/>
      <c r="M93" s="78"/>
      <c r="N93" s="78"/>
      <c r="O93" s="78"/>
      <c r="P93" s="78"/>
      <c r="Q93" s="78"/>
      <c r="R93" s="78"/>
      <c r="S93" s="78"/>
      <c r="T93" s="78"/>
      <c r="U93" s="78"/>
      <c r="V93" s="78"/>
      <c r="W93" s="78"/>
      <c r="X93" s="78"/>
      <c r="Y93" s="78"/>
      <c r="Z93" s="78"/>
    </row>
    <row r="94" spans="1:26" ht="20.100000000000001" customHeight="1" x14ac:dyDescent="0.2">
      <c r="A94" s="78"/>
      <c r="B94" s="78"/>
      <c r="C94" s="78"/>
      <c r="D94" s="78"/>
      <c r="E94" s="78"/>
      <c r="F94" s="78"/>
      <c r="G94" s="78"/>
      <c r="H94" s="78"/>
      <c r="I94" s="78"/>
      <c r="J94" s="78"/>
      <c r="K94" s="78"/>
      <c r="L94" s="78"/>
      <c r="M94" s="78"/>
      <c r="N94" s="78"/>
      <c r="O94" s="78"/>
      <c r="P94" s="78"/>
      <c r="Q94" s="78"/>
      <c r="R94" s="78"/>
      <c r="S94" s="78"/>
      <c r="T94" s="78"/>
      <c r="U94" s="78"/>
      <c r="V94" s="78"/>
      <c r="W94" s="78"/>
      <c r="X94" s="78"/>
      <c r="Y94" s="78"/>
      <c r="Z94" s="78"/>
    </row>
    <row r="95" spans="1:26" ht="20.100000000000001" customHeight="1" x14ac:dyDescent="0.2">
      <c r="A95" s="78"/>
      <c r="B95" s="78"/>
      <c r="C95" s="78"/>
      <c r="D95" s="78"/>
      <c r="E95" s="78"/>
      <c r="F95" s="78"/>
      <c r="G95" s="78"/>
      <c r="H95" s="78"/>
      <c r="I95" s="78"/>
      <c r="J95" s="78"/>
      <c r="K95" s="78"/>
      <c r="L95" s="78"/>
      <c r="M95" s="78"/>
      <c r="N95" s="78"/>
      <c r="O95" s="78"/>
      <c r="P95" s="78"/>
      <c r="Q95" s="78"/>
      <c r="R95" s="78"/>
      <c r="S95" s="78"/>
      <c r="T95" s="78"/>
      <c r="U95" s="78"/>
      <c r="V95" s="78"/>
      <c r="W95" s="78"/>
      <c r="X95" s="78"/>
      <c r="Y95" s="78"/>
      <c r="Z95" s="78"/>
    </row>
    <row r="96" spans="1:26" ht="20.100000000000001" customHeight="1" x14ac:dyDescent="0.2">
      <c r="A96" s="78"/>
      <c r="B96" s="78"/>
      <c r="C96" s="78"/>
      <c r="D96" s="78"/>
      <c r="E96" s="78"/>
      <c r="F96" s="78"/>
      <c r="G96" s="78"/>
      <c r="H96" s="78"/>
      <c r="I96" s="78"/>
      <c r="J96" s="78"/>
      <c r="K96" s="78"/>
      <c r="L96" s="78"/>
      <c r="M96" s="78"/>
      <c r="N96" s="78"/>
      <c r="O96" s="78"/>
      <c r="P96" s="78"/>
      <c r="Q96" s="78"/>
      <c r="R96" s="78"/>
      <c r="S96" s="78"/>
      <c r="T96" s="78"/>
      <c r="U96" s="78"/>
      <c r="V96" s="78"/>
      <c r="W96" s="78"/>
      <c r="X96" s="78"/>
      <c r="Y96" s="78"/>
      <c r="Z96" s="78"/>
    </row>
    <row r="97" spans="1:42" ht="20.100000000000001" customHeight="1" x14ac:dyDescent="0.2">
      <c r="A97" s="78"/>
      <c r="B97" s="78"/>
      <c r="C97" s="78"/>
      <c r="D97" s="78"/>
      <c r="E97" s="78"/>
      <c r="F97" s="78"/>
      <c r="G97" s="78"/>
      <c r="H97" s="78"/>
      <c r="I97" s="78"/>
      <c r="J97" s="78"/>
      <c r="K97" s="78"/>
      <c r="L97" s="78"/>
      <c r="M97" s="78"/>
      <c r="N97" s="78"/>
      <c r="O97" s="78"/>
      <c r="P97" s="78"/>
      <c r="Q97" s="78"/>
      <c r="R97" s="78"/>
      <c r="S97" s="78"/>
      <c r="T97" s="78"/>
      <c r="U97" s="78"/>
      <c r="V97" s="78"/>
      <c r="W97" s="78"/>
      <c r="X97" s="78"/>
      <c r="Y97" s="78"/>
      <c r="Z97" s="78"/>
    </row>
    <row r="99" spans="1:42" ht="20.100000000000001" customHeight="1" x14ac:dyDescent="0.2">
      <c r="A99" s="19"/>
      <c r="B99" s="19"/>
      <c r="C99" s="19"/>
      <c r="D99" s="19"/>
      <c r="E99" s="19"/>
      <c r="F99" s="19"/>
      <c r="G99" s="19"/>
      <c r="H99" s="19"/>
      <c r="I99" s="19"/>
      <c r="J99" s="19"/>
      <c r="K99" s="19"/>
      <c r="L99" s="19"/>
      <c r="M99" s="19"/>
      <c r="N99" s="19"/>
      <c r="O99" s="19"/>
      <c r="P99" s="19"/>
      <c r="Q99" s="19"/>
      <c r="R99" s="19"/>
      <c r="S99" s="19"/>
      <c r="T99" s="19"/>
      <c r="U99" s="19"/>
      <c r="V99" s="19"/>
      <c r="W99" s="19"/>
      <c r="X99" s="19"/>
      <c r="Y99" s="19"/>
      <c r="Z99" s="19"/>
      <c r="AA99" s="19"/>
      <c r="AB99" s="19"/>
      <c r="AC99" s="19"/>
      <c r="AD99" s="19"/>
      <c r="AE99" s="19"/>
      <c r="AF99" s="19"/>
      <c r="AG99" s="19"/>
      <c r="AH99" s="19"/>
      <c r="AI99" s="19"/>
      <c r="AJ99" s="19"/>
      <c r="AK99" s="19"/>
      <c r="AL99" s="19"/>
      <c r="AM99" s="19"/>
      <c r="AN99" s="19"/>
      <c r="AO99" s="19"/>
      <c r="AP99" s="19"/>
    </row>
    <row r="100" spans="1:42" ht="20.100000000000001" customHeight="1" x14ac:dyDescent="0.2">
      <c r="A100" s="19"/>
      <c r="B100" s="19"/>
      <c r="C100" s="19"/>
      <c r="D100" s="19"/>
      <c r="E100" s="19"/>
      <c r="F100" s="19"/>
      <c r="G100" s="19"/>
      <c r="H100" s="19"/>
      <c r="I100" s="19"/>
      <c r="J100" s="19"/>
      <c r="K100" s="19"/>
      <c r="L100" s="19"/>
      <c r="M100" s="19"/>
      <c r="N100" s="19"/>
      <c r="O100" s="19"/>
      <c r="P100" s="19"/>
      <c r="Q100" s="19"/>
      <c r="R100" s="19"/>
      <c r="S100" s="19"/>
      <c r="T100" s="19"/>
      <c r="U100" s="19"/>
      <c r="V100" s="19"/>
      <c r="W100" s="19"/>
      <c r="X100" s="19"/>
      <c r="Y100" s="19"/>
      <c r="Z100" s="19"/>
      <c r="AA100" s="19"/>
      <c r="AB100" s="19"/>
      <c r="AC100" s="19"/>
      <c r="AD100" s="19"/>
      <c r="AE100" s="19"/>
      <c r="AF100" s="19"/>
      <c r="AG100" s="19"/>
      <c r="AH100" s="19"/>
      <c r="AI100" s="19"/>
      <c r="AJ100" s="19"/>
      <c r="AK100" s="19"/>
      <c r="AL100" s="19"/>
      <c r="AM100" s="19"/>
      <c r="AN100" s="19"/>
      <c r="AO100" s="19"/>
      <c r="AP100" s="19"/>
    </row>
    <row r="101" spans="1:42" ht="20.100000000000001" customHeight="1" x14ac:dyDescent="0.2">
      <c r="A101" s="19"/>
      <c r="B101" s="19"/>
      <c r="C101" s="19"/>
      <c r="D101" s="19"/>
      <c r="E101" s="19"/>
      <c r="F101" s="19"/>
      <c r="G101" s="19"/>
      <c r="H101" s="19"/>
      <c r="I101" s="19"/>
      <c r="J101" s="19"/>
      <c r="K101" s="19"/>
      <c r="L101" s="19"/>
      <c r="M101" s="19"/>
      <c r="N101" s="19"/>
      <c r="O101" s="19"/>
      <c r="P101" s="19"/>
      <c r="Q101" s="19"/>
      <c r="R101" s="19"/>
      <c r="S101" s="19"/>
      <c r="T101" s="19"/>
      <c r="U101" s="19"/>
      <c r="V101" s="19"/>
      <c r="W101" s="19"/>
      <c r="X101" s="19"/>
      <c r="Y101" s="19"/>
      <c r="Z101" s="19"/>
      <c r="AA101" s="19"/>
      <c r="AB101" s="19"/>
      <c r="AC101" s="19"/>
      <c r="AD101" s="19"/>
      <c r="AE101" s="19"/>
      <c r="AF101" s="19"/>
      <c r="AG101" s="19"/>
      <c r="AH101" s="19"/>
      <c r="AI101" s="19"/>
      <c r="AJ101" s="19"/>
      <c r="AK101" s="19"/>
      <c r="AL101" s="19"/>
      <c r="AM101" s="19"/>
      <c r="AN101" s="19"/>
      <c r="AO101" s="19"/>
      <c r="AP101" s="19"/>
    </row>
    <row r="102" spans="1:42" ht="20.100000000000001" customHeight="1" x14ac:dyDescent="0.2">
      <c r="A102" s="19"/>
      <c r="B102" s="19"/>
      <c r="C102" s="19"/>
      <c r="D102" s="19"/>
      <c r="E102" s="19"/>
      <c r="F102" s="19"/>
      <c r="G102" s="19"/>
      <c r="H102" s="19"/>
      <c r="I102" s="19"/>
      <c r="J102" s="19"/>
      <c r="K102" s="19"/>
      <c r="L102" s="19"/>
      <c r="M102" s="19"/>
      <c r="N102" s="19"/>
      <c r="O102" s="19"/>
      <c r="P102" s="19"/>
      <c r="Q102" s="19"/>
      <c r="R102" s="19"/>
      <c r="S102" s="19"/>
      <c r="T102" s="19"/>
      <c r="U102" s="19"/>
      <c r="V102" s="19"/>
      <c r="W102" s="19"/>
      <c r="X102" s="19"/>
      <c r="Y102" s="19"/>
      <c r="Z102" s="19"/>
      <c r="AA102" s="19"/>
      <c r="AB102" s="19"/>
      <c r="AC102" s="19"/>
      <c r="AD102" s="19"/>
      <c r="AE102" s="19"/>
      <c r="AF102" s="19"/>
      <c r="AG102" s="19"/>
      <c r="AH102" s="19"/>
      <c r="AI102" s="19"/>
      <c r="AJ102" s="19"/>
      <c r="AK102" s="19"/>
      <c r="AL102" s="19"/>
      <c r="AM102" s="19"/>
      <c r="AN102" s="19"/>
      <c r="AO102" s="19"/>
      <c r="AP102" s="19"/>
    </row>
    <row r="103" spans="1:42" ht="20.100000000000001" customHeight="1" x14ac:dyDescent="0.2">
      <c r="A103" s="19"/>
      <c r="B103" s="19"/>
      <c r="C103" s="19"/>
      <c r="D103" s="19"/>
      <c r="E103" s="19"/>
      <c r="F103" s="19"/>
      <c r="G103" s="19"/>
      <c r="H103" s="19"/>
      <c r="I103" s="19"/>
      <c r="J103" s="19"/>
      <c r="K103" s="19"/>
      <c r="L103" s="19"/>
      <c r="M103" s="19"/>
      <c r="N103" s="19"/>
      <c r="O103" s="19"/>
      <c r="P103" s="19"/>
      <c r="Q103" s="19"/>
      <c r="R103" s="19"/>
      <c r="S103" s="19"/>
      <c r="T103" s="19"/>
      <c r="U103" s="19"/>
      <c r="V103" s="19"/>
      <c r="W103" s="19"/>
      <c r="X103" s="19"/>
      <c r="Y103" s="19"/>
      <c r="Z103" s="19"/>
      <c r="AA103" s="19"/>
      <c r="AB103" s="19"/>
      <c r="AC103" s="19"/>
      <c r="AD103" s="19"/>
      <c r="AE103" s="19"/>
      <c r="AF103" s="19"/>
      <c r="AG103" s="19"/>
      <c r="AH103" s="19"/>
      <c r="AI103" s="19"/>
      <c r="AJ103" s="19"/>
      <c r="AK103" s="19"/>
      <c r="AL103" s="19"/>
      <c r="AM103" s="19"/>
      <c r="AN103" s="19"/>
      <c r="AO103" s="19"/>
      <c r="AP103" s="19"/>
    </row>
    <row r="104" spans="1:42" ht="20.100000000000001" customHeight="1" x14ac:dyDescent="0.2">
      <c r="A104" s="19"/>
      <c r="B104" s="19"/>
      <c r="C104" s="19"/>
      <c r="D104" s="19"/>
      <c r="E104" s="19"/>
      <c r="F104" s="19"/>
      <c r="G104" s="19"/>
      <c r="H104" s="19"/>
      <c r="I104" s="19"/>
      <c r="J104" s="19"/>
      <c r="K104" s="19"/>
      <c r="L104" s="19"/>
      <c r="M104" s="19"/>
      <c r="N104" s="19"/>
      <c r="O104" s="19"/>
      <c r="P104" s="19"/>
      <c r="Q104" s="19"/>
      <c r="R104" s="19"/>
      <c r="S104" s="19"/>
      <c r="T104" s="19"/>
      <c r="U104" s="19"/>
      <c r="V104" s="19"/>
      <c r="W104" s="19"/>
      <c r="X104" s="19"/>
      <c r="Y104" s="19"/>
      <c r="Z104" s="19"/>
      <c r="AA104" s="19"/>
      <c r="AB104" s="19"/>
      <c r="AC104" s="19"/>
      <c r="AD104" s="19"/>
      <c r="AE104" s="19"/>
      <c r="AF104" s="19"/>
      <c r="AG104" s="19"/>
      <c r="AH104" s="19"/>
      <c r="AI104" s="19"/>
      <c r="AJ104" s="19"/>
      <c r="AK104" s="19"/>
      <c r="AL104" s="19"/>
      <c r="AM104" s="19"/>
      <c r="AN104" s="19"/>
      <c r="AO104" s="19"/>
      <c r="AP104" s="19"/>
    </row>
    <row r="105" spans="1:42" ht="20.100000000000001" customHeight="1" x14ac:dyDescent="0.2">
      <c r="A105" s="19"/>
      <c r="B105" s="19"/>
      <c r="C105" s="19"/>
      <c r="D105" s="19"/>
      <c r="E105" s="19"/>
      <c r="F105" s="19"/>
      <c r="G105" s="19"/>
      <c r="H105" s="19"/>
      <c r="I105" s="19"/>
      <c r="J105" s="19"/>
      <c r="K105" s="19"/>
      <c r="L105" s="19"/>
      <c r="M105" s="19"/>
      <c r="N105" s="19"/>
      <c r="O105" s="19"/>
      <c r="P105" s="19"/>
      <c r="Q105" s="19"/>
      <c r="R105" s="19"/>
      <c r="S105" s="19"/>
      <c r="T105" s="19"/>
      <c r="U105" s="19"/>
      <c r="V105" s="19"/>
      <c r="W105" s="19"/>
      <c r="X105" s="19"/>
      <c r="Y105" s="19"/>
      <c r="Z105" s="19"/>
      <c r="AA105" s="19"/>
      <c r="AB105" s="19"/>
      <c r="AC105" s="19"/>
      <c r="AD105" s="19"/>
      <c r="AE105" s="19"/>
      <c r="AF105" s="19"/>
      <c r="AG105" s="19"/>
      <c r="AH105" s="19"/>
      <c r="AI105" s="19"/>
      <c r="AJ105" s="19"/>
      <c r="AK105" s="19"/>
      <c r="AL105" s="19"/>
      <c r="AM105" s="19"/>
      <c r="AN105" s="19"/>
      <c r="AO105" s="19"/>
      <c r="AP105" s="19"/>
    </row>
  </sheetData>
  <dataConsolidate/>
  <mergeCells count="1">
    <mergeCell ref="D22:E22"/>
  </mergeCells>
  <phoneticPr fontId="3"/>
  <pageMargins left="0.78740157480314965" right="0.78740157480314965" top="0.9055118110236221" bottom="0.78740157480314965" header="0.51181102362204722" footer="0.43307086614173229"/>
  <pageSetup paperSize="9" scale="24"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50"/>
  <sheetViews>
    <sheetView showZeros="0" view="pageBreakPreview" zoomScaleNormal="85" workbookViewId="0">
      <selection activeCell="D5" sqref="D5"/>
    </sheetView>
  </sheetViews>
  <sheetFormatPr defaultRowHeight="20.100000000000001" customHeight="1" x14ac:dyDescent="0.2"/>
  <cols>
    <col min="1" max="1" width="3.375" style="1" bestFit="1" customWidth="1"/>
    <col min="2" max="2" width="3.5" style="1" customWidth="1"/>
    <col min="3" max="4" width="9" style="1"/>
    <col min="5" max="5" width="9.25" style="1" bestFit="1" customWidth="1"/>
    <col min="6" max="6" width="5.625" style="1" bestFit="1" customWidth="1"/>
    <col min="7" max="7" width="9.375" style="1" bestFit="1" customWidth="1"/>
    <col min="8" max="8" width="9.25" style="1" bestFit="1" customWidth="1"/>
    <col min="9" max="10" width="9" style="1"/>
    <col min="11" max="11" width="14.25" style="1" bestFit="1" customWidth="1"/>
    <col min="12" max="12" width="9.5" style="1" bestFit="1" customWidth="1"/>
    <col min="13" max="13" width="14.25" style="1" bestFit="1" customWidth="1"/>
    <col min="14" max="14" width="10.625" style="1" bestFit="1" customWidth="1"/>
    <col min="15" max="15" width="10.25" style="1" bestFit="1" customWidth="1"/>
    <col min="16" max="16" width="11.25" style="1" bestFit="1" customWidth="1"/>
    <col min="17" max="17" width="13.25" style="1" bestFit="1" customWidth="1"/>
    <col min="18" max="18" width="10.625" style="1" bestFit="1" customWidth="1"/>
    <col min="19" max="16384" width="9" style="1"/>
  </cols>
  <sheetData>
    <row r="1" spans="1:12" ht="20.100000000000001" customHeight="1" x14ac:dyDescent="0.2">
      <c r="A1" s="133" t="s">
        <v>169</v>
      </c>
      <c r="B1" s="133"/>
      <c r="C1" s="133"/>
      <c r="D1" s="133"/>
      <c r="E1" s="133"/>
      <c r="F1" s="133"/>
      <c r="G1" s="133"/>
      <c r="H1" s="133"/>
      <c r="I1" s="133"/>
      <c r="J1" s="133"/>
      <c r="K1" s="133"/>
      <c r="L1" s="133"/>
    </row>
    <row r="3" spans="1:12" ht="20.100000000000001" customHeight="1" x14ac:dyDescent="0.2">
      <c r="C3" s="1" t="s">
        <v>170</v>
      </c>
      <c r="D3" s="81" t="s">
        <v>171</v>
      </c>
      <c r="E3" s="81"/>
      <c r="F3" s="81"/>
      <c r="G3" s="81"/>
      <c r="H3" s="81"/>
    </row>
    <row r="4" spans="1:12" ht="20.100000000000001" customHeight="1" x14ac:dyDescent="0.2">
      <c r="D4" s="81" t="s">
        <v>172</v>
      </c>
      <c r="E4" s="81"/>
      <c r="F4" s="81"/>
      <c r="G4" s="81"/>
      <c r="H4" s="81"/>
    </row>
    <row r="6" spans="1:12" ht="20.100000000000001" customHeight="1" thickBot="1" x14ac:dyDescent="0.25">
      <c r="A6" s="1">
        <v>1</v>
      </c>
      <c r="C6" s="133" t="s">
        <v>96</v>
      </c>
      <c r="D6" s="133"/>
      <c r="E6" s="133"/>
      <c r="F6" s="133"/>
      <c r="G6" s="133"/>
      <c r="K6" s="52"/>
    </row>
    <row r="7" spans="1:12" ht="20.100000000000001" customHeight="1" thickBot="1" x14ac:dyDescent="0.25">
      <c r="C7" s="130" t="s">
        <v>86</v>
      </c>
      <c r="D7" s="131"/>
      <c r="E7" s="69">
        <v>0.53</v>
      </c>
      <c r="F7" s="38" t="s">
        <v>0</v>
      </c>
      <c r="G7" s="136" t="s">
        <v>87</v>
      </c>
      <c r="H7" s="137"/>
      <c r="I7" s="72">
        <v>2</v>
      </c>
      <c r="J7" s="53" t="s">
        <v>0</v>
      </c>
      <c r="K7" s="54" t="s">
        <v>90</v>
      </c>
      <c r="L7" s="62">
        <v>7</v>
      </c>
    </row>
    <row r="8" spans="1:12" ht="20.100000000000001" customHeight="1" thickBot="1" x14ac:dyDescent="0.25">
      <c r="C8" s="130" t="s">
        <v>80</v>
      </c>
      <c r="D8" s="131"/>
      <c r="E8" s="69">
        <v>0.5</v>
      </c>
      <c r="F8" s="38"/>
      <c r="G8" s="130" t="s">
        <v>89</v>
      </c>
      <c r="H8" s="131"/>
      <c r="I8" s="73">
        <v>0.4</v>
      </c>
      <c r="J8" s="64" t="s">
        <v>0</v>
      </c>
      <c r="K8" s="37" t="s">
        <v>64</v>
      </c>
      <c r="L8" s="62">
        <v>5</v>
      </c>
    </row>
    <row r="9" spans="1:12" ht="20.100000000000001" customHeight="1" thickBot="1" x14ac:dyDescent="0.25">
      <c r="C9" s="130" t="s">
        <v>83</v>
      </c>
      <c r="D9" s="131"/>
      <c r="E9" s="70">
        <v>200</v>
      </c>
      <c r="F9" s="52" t="s">
        <v>84</v>
      </c>
      <c r="G9" s="136" t="s">
        <v>57</v>
      </c>
      <c r="H9" s="137"/>
      <c r="I9" s="55">
        <f>E20*2*L7</f>
        <v>2.3800000000000003</v>
      </c>
      <c r="J9" s="38" t="s">
        <v>0</v>
      </c>
    </row>
    <row r="10" spans="1:12" ht="20.100000000000001" customHeight="1" thickBot="1" x14ac:dyDescent="0.25">
      <c r="G10" s="136" t="s">
        <v>88</v>
      </c>
      <c r="H10" s="137"/>
      <c r="I10" s="65">
        <f>J43</f>
        <v>3.9999999999999996</v>
      </c>
      <c r="J10" s="71" t="s">
        <v>0</v>
      </c>
      <c r="K10" s="10"/>
    </row>
    <row r="11" spans="1:12" ht="20.100000000000001" customHeight="1" x14ac:dyDescent="0.2">
      <c r="C11" s="1" t="s">
        <v>106</v>
      </c>
    </row>
    <row r="12" spans="1:12" ht="20.100000000000001" customHeight="1" x14ac:dyDescent="0.2">
      <c r="C12" s="13"/>
      <c r="D12" s="13"/>
      <c r="E12" s="49"/>
      <c r="F12" s="10"/>
      <c r="G12" s="13"/>
      <c r="H12" s="13"/>
      <c r="I12" s="10"/>
      <c r="J12" s="48"/>
    </row>
    <row r="13" spans="1:12" ht="20.100000000000001" customHeight="1" x14ac:dyDescent="0.2">
      <c r="A13" s="1">
        <v>2</v>
      </c>
      <c r="C13" s="133" t="s">
        <v>1</v>
      </c>
      <c r="D13" s="133"/>
      <c r="E13" s="133"/>
      <c r="F13" s="133"/>
      <c r="G13" s="133"/>
      <c r="H13" s="133"/>
    </row>
    <row r="14" spans="1:12" ht="20.100000000000001" customHeight="1" x14ac:dyDescent="0.2">
      <c r="C14" s="134" t="s">
        <v>3</v>
      </c>
      <c r="D14" s="134"/>
      <c r="E14" s="134"/>
      <c r="F14" s="135" t="s">
        <v>2</v>
      </c>
      <c r="G14" s="135"/>
      <c r="H14" s="97">
        <v>11.8</v>
      </c>
      <c r="I14" s="9" t="s">
        <v>67</v>
      </c>
    </row>
    <row r="15" spans="1:12" ht="20.100000000000001" customHeight="1" x14ac:dyDescent="0.2">
      <c r="C15" s="7" t="s">
        <v>6</v>
      </c>
      <c r="D15" s="7"/>
      <c r="E15" s="7"/>
      <c r="F15" s="135" t="s">
        <v>4</v>
      </c>
      <c r="G15" s="135"/>
      <c r="H15" s="97">
        <v>18</v>
      </c>
      <c r="I15" s="9" t="s">
        <v>67</v>
      </c>
    </row>
    <row r="16" spans="1:12" ht="20.100000000000001" customHeight="1" x14ac:dyDescent="0.2">
      <c r="C16" s="7" t="s">
        <v>7</v>
      </c>
      <c r="D16" s="7"/>
      <c r="E16" s="7"/>
      <c r="F16" s="135" t="s">
        <v>5</v>
      </c>
      <c r="G16" s="135"/>
      <c r="H16" s="97">
        <v>7.8</v>
      </c>
      <c r="I16" s="9" t="s">
        <v>67</v>
      </c>
    </row>
    <row r="18" spans="1:27" ht="20.100000000000001" customHeight="1" x14ac:dyDescent="0.2">
      <c r="A18" s="1">
        <v>3</v>
      </c>
      <c r="C18" s="1" t="s">
        <v>100</v>
      </c>
    </row>
    <row r="19" spans="1:27" ht="20.100000000000001" customHeight="1" x14ac:dyDescent="0.2">
      <c r="C19" s="132" t="s">
        <v>93</v>
      </c>
      <c r="D19" s="132"/>
      <c r="E19" s="63">
        <v>0.2</v>
      </c>
      <c r="F19" s="9" t="s">
        <v>0</v>
      </c>
      <c r="G19" s="132" t="s">
        <v>101</v>
      </c>
      <c r="H19" s="132"/>
      <c r="I19" s="132"/>
    </row>
    <row r="20" spans="1:27" ht="20.100000000000001" customHeight="1" x14ac:dyDescent="0.2">
      <c r="C20" s="132" t="s">
        <v>91</v>
      </c>
      <c r="D20" s="132"/>
      <c r="E20" s="63">
        <v>0.17</v>
      </c>
      <c r="F20" s="9" t="s">
        <v>0</v>
      </c>
      <c r="G20" s="132" t="s">
        <v>102</v>
      </c>
      <c r="H20" s="132"/>
      <c r="I20" s="132"/>
    </row>
    <row r="21" spans="1:27" ht="20.100000000000001" customHeight="1" x14ac:dyDescent="0.2">
      <c r="C21" s="132" t="s">
        <v>92</v>
      </c>
      <c r="D21" s="132"/>
      <c r="E21" s="63">
        <v>2.9000000000000001E-2</v>
      </c>
      <c r="F21" s="9" t="s">
        <v>46</v>
      </c>
      <c r="G21" s="132" t="s">
        <v>103</v>
      </c>
      <c r="H21" s="132"/>
      <c r="I21" s="132"/>
    </row>
    <row r="22" spans="1:27" ht="20.100000000000001" customHeight="1" x14ac:dyDescent="0.2">
      <c r="C22" s="48" t="s">
        <v>104</v>
      </c>
      <c r="D22" s="13"/>
      <c r="E22" s="49"/>
      <c r="F22" s="10"/>
      <c r="G22" s="13"/>
      <c r="H22" s="13"/>
      <c r="I22" s="13"/>
    </row>
    <row r="24" spans="1:27" ht="20.100000000000001" customHeight="1" x14ac:dyDescent="0.2">
      <c r="A24" s="1">
        <v>4</v>
      </c>
      <c r="C24" s="133" t="s">
        <v>81</v>
      </c>
      <c r="D24" s="133"/>
      <c r="E24" s="133"/>
      <c r="F24" s="133"/>
      <c r="G24" s="133"/>
    </row>
    <row r="25" spans="1:27" ht="20.100000000000001" customHeight="1" x14ac:dyDescent="0.2">
      <c r="C25" s="132" t="s">
        <v>47</v>
      </c>
      <c r="D25" s="132"/>
      <c r="E25" s="132"/>
      <c r="F25" s="132"/>
      <c r="G25" s="17">
        <v>6</v>
      </c>
      <c r="H25" s="7" t="s">
        <v>0</v>
      </c>
      <c r="I25" s="1" t="s">
        <v>105</v>
      </c>
    </row>
    <row r="26" spans="1:27" ht="20.100000000000001" customHeight="1" x14ac:dyDescent="0.2">
      <c r="C26" s="2"/>
      <c r="D26" s="2"/>
      <c r="E26" s="2"/>
      <c r="F26" s="2"/>
      <c r="G26" s="3"/>
    </row>
    <row r="27" spans="1:27" ht="20.100000000000001" customHeight="1" x14ac:dyDescent="0.2">
      <c r="C27" s="2"/>
      <c r="D27" s="2"/>
      <c r="E27" s="2"/>
      <c r="F27" s="2"/>
      <c r="G27" s="3"/>
    </row>
    <row r="28" spans="1:27" ht="20.100000000000001" customHeight="1" x14ac:dyDescent="0.2">
      <c r="C28" s="47" t="s">
        <v>9</v>
      </c>
    </row>
    <row r="29" spans="1:27" ht="20.100000000000001" customHeight="1" x14ac:dyDescent="0.2">
      <c r="C29" s="50" t="str">
        <f>O30</f>
        <v/>
      </c>
      <c r="I29" s="15"/>
      <c r="AA29" s="1">
        <v>0</v>
      </c>
    </row>
    <row r="30" spans="1:27" ht="20.100000000000001" customHeight="1" x14ac:dyDescent="0.2">
      <c r="C30" s="50" t="str">
        <f>O32</f>
        <v>6.00｛2.38Ｘ2.00+0.40Ｘ（2.04+1.70+1.36+1.02+0.68）｝</v>
      </c>
      <c r="O30" s="40" t="str">
        <f>IF(L8=0,O33,IF(L8=1,O34,IF(L8=2,O35,IF(L8=3,O36,IF(L8=4,O37,"")))))</f>
        <v/>
      </c>
      <c r="AA30" s="1">
        <v>1</v>
      </c>
    </row>
    <row r="31" spans="1:27" ht="20.100000000000001" customHeight="1" x14ac:dyDescent="0.2">
      <c r="B31" s="4" t="s">
        <v>8</v>
      </c>
      <c r="C31" s="19">
        <f>G25*K43</f>
        <v>44.879999999999995</v>
      </c>
      <c r="D31" s="1" t="s">
        <v>94</v>
      </c>
      <c r="O31" s="40"/>
      <c r="AA31" s="1">
        <v>2</v>
      </c>
    </row>
    <row r="32" spans="1:27" ht="20.100000000000001" customHeight="1" thickBot="1" x14ac:dyDescent="0.25">
      <c r="H32" s="60" t="s">
        <v>36</v>
      </c>
      <c r="I32" s="60" t="s">
        <v>34</v>
      </c>
      <c r="J32" s="60" t="s">
        <v>35</v>
      </c>
      <c r="K32" s="60" t="s">
        <v>43</v>
      </c>
      <c r="L32" s="61" t="s">
        <v>49</v>
      </c>
      <c r="O32" s="40" t="str">
        <f>IF(L8=5,O38,IF(L8=6,O39,IF(L8=7,O40,IF(L8=8,O41,IF(L8=9,O42,"")))))</f>
        <v>6.00｛2.38Ｘ2.00+0.40Ｘ（2.04+1.70+1.36+1.02+0.68）｝</v>
      </c>
      <c r="AA32" s="1">
        <v>3</v>
      </c>
    </row>
    <row r="33" spans="2:27" ht="20.100000000000001" customHeight="1" x14ac:dyDescent="0.2">
      <c r="C33" s="47" t="s">
        <v>10</v>
      </c>
      <c r="E33" s="1" t="s">
        <v>85</v>
      </c>
      <c r="H33" s="6" t="s">
        <v>37</v>
      </c>
      <c r="I33" s="21">
        <f>I9</f>
        <v>2.3800000000000003</v>
      </c>
      <c r="J33" s="21">
        <f>I7</f>
        <v>2</v>
      </c>
      <c r="K33" s="22">
        <f>ROUND(I33*J33,3)</f>
        <v>4.76</v>
      </c>
      <c r="L33" s="23">
        <f>I7</f>
        <v>2</v>
      </c>
      <c r="M33" s="56" t="s">
        <v>58</v>
      </c>
      <c r="N33" s="1" t="s">
        <v>62</v>
      </c>
      <c r="O33" s="1" t="str">
        <f>FIXED(G25,2,2)&amp;"X"&amp;FIXED(I33,2,2)&amp;"Ｘ"&amp;FIXED(J33,2,2)</f>
        <v>6.00X2.38Ｘ2.00</v>
      </c>
      <c r="AA33" s="1">
        <v>4</v>
      </c>
    </row>
    <row r="34" spans="2:27" ht="20.100000000000001" customHeight="1" x14ac:dyDescent="0.2">
      <c r="C34" s="16" t="str">
        <f>FIXED(H48,2,2)&amp;"X"&amp;FIXED(E21,4,2)</f>
        <v>828.00X0.0290</v>
      </c>
      <c r="D34" s="16"/>
      <c r="H34" s="6" t="s">
        <v>38</v>
      </c>
      <c r="I34" s="21">
        <f t="shared" ref="I34:I42" si="0">IF(N34=TRUE,I33-$E$20*2,"")</f>
        <v>2.0400000000000005</v>
      </c>
      <c r="J34" s="21">
        <f t="shared" ref="J34:J42" si="1">IF(M34=TRUE,$I$8,0)</f>
        <v>0.4</v>
      </c>
      <c r="K34" s="20">
        <f t="shared" ref="K34:K42" si="2">IF(N34=TRUE,IF(M34=TRUE,ROUND(I34*J34,3),0),0)</f>
        <v>0.81599999999999995</v>
      </c>
      <c r="L34" s="21">
        <f t="shared" ref="L34:L42" si="3">IF(M34=TRUE,IF(N34=TRUE,L33+J34,L33),IF(N34=TRUE,L33,""))</f>
        <v>2.4</v>
      </c>
      <c r="M34" s="57" t="b">
        <f>L8&gt;=1</f>
        <v>1</v>
      </c>
      <c r="N34" s="39" t="b">
        <f>L7&gt;1</f>
        <v>1</v>
      </c>
      <c r="O34" s="1" t="str">
        <f>FIXED(G25,2,2)&amp;"("&amp;FIXED(I33,2,2)&amp;"Ｘ"&amp;FIXED(J33,2,2)&amp;"+"&amp;FIXED(I8,2,2)&amp;"Ｘ"&amp;FIXED(I34,2,2)&amp;")"</f>
        <v>6.00(2.38Ｘ2.00+0.40Ｘ2.04)</v>
      </c>
      <c r="AA34" s="1">
        <v>5</v>
      </c>
    </row>
    <row r="35" spans="2:27" ht="20.100000000000001" customHeight="1" x14ac:dyDescent="0.2">
      <c r="B35" s="4" t="s">
        <v>8</v>
      </c>
      <c r="C35" s="19">
        <f>E21*H48</f>
        <v>24.012</v>
      </c>
      <c r="D35" s="1" t="s">
        <v>94</v>
      </c>
      <c r="H35" s="6" t="s">
        <v>39</v>
      </c>
      <c r="I35" s="21">
        <f t="shared" si="0"/>
        <v>1.7000000000000004</v>
      </c>
      <c r="J35" s="21">
        <f t="shared" si="1"/>
        <v>0.4</v>
      </c>
      <c r="K35" s="20">
        <f t="shared" si="2"/>
        <v>0.68</v>
      </c>
      <c r="L35" s="21">
        <f t="shared" si="3"/>
        <v>2.8</v>
      </c>
      <c r="M35" s="57" t="b">
        <f>L8&gt;=2</f>
        <v>1</v>
      </c>
      <c r="N35" s="39" t="b">
        <f>L7&gt;2</f>
        <v>1</v>
      </c>
      <c r="O35" s="1" t="str">
        <f>FIXED(G25,2,2)&amp;"｛"&amp;FIXED(I33,2,2)&amp;"Ｘ"&amp;FIXED(J33,2,2)&amp;"+"&amp;FIXED(I8,2,2)&amp;"Ｘ（"&amp;FIXED(I34,2,2)&amp;"+"&amp;FIXED(I35,2,2)&amp;")｝"</f>
        <v>6.00｛2.38Ｘ2.00+0.40Ｘ（2.04+1.70)｝</v>
      </c>
      <c r="AA35" s="1">
        <v>6</v>
      </c>
    </row>
    <row r="36" spans="2:27" ht="20.100000000000001" customHeight="1" x14ac:dyDescent="0.2">
      <c r="H36" s="6" t="s">
        <v>40</v>
      </c>
      <c r="I36" s="21">
        <f t="shared" si="0"/>
        <v>1.3600000000000003</v>
      </c>
      <c r="J36" s="21">
        <f t="shared" si="1"/>
        <v>0.4</v>
      </c>
      <c r="K36" s="20">
        <f t="shared" si="2"/>
        <v>0.54400000000000004</v>
      </c>
      <c r="L36" s="21">
        <f t="shared" si="3"/>
        <v>3.1999999999999997</v>
      </c>
      <c r="M36" s="57" t="b">
        <f>L8&gt;=3</f>
        <v>1</v>
      </c>
      <c r="N36" s="39" t="b">
        <f>L7&gt;3</f>
        <v>1</v>
      </c>
      <c r="O36" s="1" t="str">
        <f>FIXED(G25,2,2)&amp;"｛"&amp;FIXED(I33,2,2)&amp;"Ｘ"&amp;FIXED(J33,2,2)&amp;"+"&amp;FIXED(I8,2,2)&amp;"Ｘ（"&amp;FIXED(I34,2,2)&amp;"+"&amp;FIXED(I35,2,2)&amp;"+"&amp;FIXED(I36,2,2)&amp;"）｝"</f>
        <v>6.00｛2.38Ｘ2.00+0.40Ｘ（2.04+1.70+1.36）｝</v>
      </c>
      <c r="AA36" s="1">
        <v>7</v>
      </c>
    </row>
    <row r="37" spans="2:27" ht="20.100000000000001" customHeight="1" x14ac:dyDescent="0.2">
      <c r="C37" s="47" t="s">
        <v>11</v>
      </c>
      <c r="H37" s="6" t="s">
        <v>41</v>
      </c>
      <c r="I37" s="21">
        <f t="shared" si="0"/>
        <v>1.0200000000000002</v>
      </c>
      <c r="J37" s="21">
        <f t="shared" si="1"/>
        <v>0.4</v>
      </c>
      <c r="K37" s="20">
        <f t="shared" si="2"/>
        <v>0.40799999999999997</v>
      </c>
      <c r="L37" s="21">
        <f t="shared" si="3"/>
        <v>3.5999999999999996</v>
      </c>
      <c r="M37" s="57" t="b">
        <f>L8&gt;=4</f>
        <v>1</v>
      </c>
      <c r="N37" s="39" t="b">
        <f>L7&gt;4</f>
        <v>1</v>
      </c>
      <c r="O37" s="1" t="str">
        <f>FIXED(G25,2,2)&amp;"｛"&amp;FIXED(I33,2,2)&amp;"Ｘ"&amp;FIXED(J33,2,2)&amp;"+"&amp;FIXED(I8,2,2)&amp;"Ｘ（"&amp;FIXED(I34,2,2)&amp;"+"&amp;FIXED(I35,2,2)&amp;"+"&amp;FIXED(I36,2,2)&amp;"+"&amp;FIXED(I37,2,2)&amp;")｝"</f>
        <v>6.00｛2.38Ｘ2.00+0.40Ｘ（2.04+1.70+1.36+1.02)｝</v>
      </c>
      <c r="AA37" s="1">
        <v>8</v>
      </c>
    </row>
    <row r="38" spans="2:27" ht="20.100000000000001" customHeight="1" x14ac:dyDescent="0.2">
      <c r="C38" s="43" t="str">
        <f>FIXED(C31,3)&amp;"－"&amp;FIXED(C35,3)</f>
        <v>44.880－24.012</v>
      </c>
      <c r="H38" s="6" t="s">
        <v>42</v>
      </c>
      <c r="I38" s="20">
        <f t="shared" si="0"/>
        <v>0.68000000000000016</v>
      </c>
      <c r="J38" s="21">
        <f t="shared" si="1"/>
        <v>0.4</v>
      </c>
      <c r="K38" s="20">
        <f t="shared" si="2"/>
        <v>0.27200000000000002</v>
      </c>
      <c r="L38" s="21">
        <f t="shared" si="3"/>
        <v>3.9999999999999996</v>
      </c>
      <c r="M38" s="57" t="b">
        <f>L8&gt;=5</f>
        <v>1</v>
      </c>
      <c r="N38" s="39" t="b">
        <f>L7&gt;5</f>
        <v>1</v>
      </c>
      <c r="O38" s="1" t="str">
        <f>FIXED(G25,2,2)&amp;"｛"&amp;FIXED(I33,2,2)&amp;"Ｘ"&amp;FIXED(J33,2,2)&amp;"+"&amp;FIXED(I8,2,2)&amp;"Ｘ（"&amp;FIXED(I34,2,2)&amp;"+"&amp;FIXED(I35,2,2)&amp;"+"&amp;FIXED(I36,2,2)&amp;"+"&amp;FIXED(I37,2,2)&amp;"+"&amp;FIXED(I38,2,2)&amp;"）｝"</f>
        <v>6.00｛2.38Ｘ2.00+0.40Ｘ（2.04+1.70+1.36+1.02+0.68）｝</v>
      </c>
      <c r="AA38" s="1">
        <v>9</v>
      </c>
    </row>
    <row r="39" spans="2:27" ht="20.100000000000001" customHeight="1" x14ac:dyDescent="0.2">
      <c r="B39" s="4" t="s">
        <v>8</v>
      </c>
      <c r="C39" s="19">
        <f>C31-C35</f>
        <v>20.867999999999995</v>
      </c>
      <c r="D39" s="1" t="s">
        <v>94</v>
      </c>
      <c r="E39" s="43"/>
      <c r="H39" s="6" t="s">
        <v>59</v>
      </c>
      <c r="I39" s="20">
        <f t="shared" si="0"/>
        <v>0.34000000000000014</v>
      </c>
      <c r="J39" s="21">
        <f t="shared" si="1"/>
        <v>0</v>
      </c>
      <c r="K39" s="20">
        <f t="shared" si="2"/>
        <v>0</v>
      </c>
      <c r="L39" s="21">
        <f t="shared" si="3"/>
        <v>3.9999999999999996</v>
      </c>
      <c r="M39" s="57" t="b">
        <f>L8&gt;=6</f>
        <v>0</v>
      </c>
      <c r="N39" s="39" t="b">
        <f>L7&gt;6</f>
        <v>1</v>
      </c>
      <c r="O39" s="1" t="str">
        <f>FIXED(G25,2,2)&amp;"｛"&amp;FIXED(I33,2,2)&amp;"Ｘ"&amp;FIXED(J33,2,2)&amp;"+"&amp;FIXED(I8,2,2)&amp;"Ｘ（"&amp;FIXED(I34,2,2)&amp;"+"&amp;FIXED(I35,2,2)&amp;"+"&amp;FIXED(I36,2,2)&amp;"+"&amp;FIXED(I37,2,2)&amp;"+"&amp;FIXED(I38,2,2)&amp;"+"&amp;FIXED(I39,2,2)&amp;"）｝"</f>
        <v>6.00｛2.38Ｘ2.00+0.40Ｘ（2.04+1.70+1.36+1.02+0.68+0.34）｝</v>
      </c>
    </row>
    <row r="40" spans="2:27" ht="20.100000000000001" customHeight="1" x14ac:dyDescent="0.2">
      <c r="H40" s="6" t="s">
        <v>60</v>
      </c>
      <c r="I40" s="20" t="str">
        <f t="shared" si="0"/>
        <v/>
      </c>
      <c r="J40" s="21">
        <f t="shared" si="1"/>
        <v>0</v>
      </c>
      <c r="K40" s="20">
        <f t="shared" si="2"/>
        <v>0</v>
      </c>
      <c r="L40" s="21" t="str">
        <f t="shared" si="3"/>
        <v/>
      </c>
      <c r="M40" s="57" t="b">
        <f>L8&gt;=7</f>
        <v>0</v>
      </c>
      <c r="N40" s="39" t="b">
        <f>L7&gt;7</f>
        <v>0</v>
      </c>
      <c r="O40" s="1" t="e">
        <f>FIXED(G25,2,2)&amp;"｛"&amp;FIXED(I33,2,2)&amp;"Ｘ"&amp;FIXED(J33,2,2)&amp;"+"&amp;FIXED(I8,2,2)&amp;"Ｘ（"&amp;FIXED(I34,2,2)&amp;"+"&amp;FIXED(I35,2,2)&amp;"+"&amp;FIXED(I36,2,2)&amp;"+"&amp;FIXED(I37,2,2)&amp;"+"&amp;FIXED(I38,2,2)&amp;"+"&amp;FIXED(I39,2,2)&amp;"+"&amp;FIXED(I40,2,2)&amp;"）｝"</f>
        <v>#VALUE!</v>
      </c>
    </row>
    <row r="41" spans="2:27" ht="20.100000000000001" customHeight="1" x14ac:dyDescent="0.2">
      <c r="C41" s="47" t="s">
        <v>56</v>
      </c>
      <c r="H41" s="6" t="s">
        <v>61</v>
      </c>
      <c r="I41" s="20" t="str">
        <f t="shared" si="0"/>
        <v/>
      </c>
      <c r="J41" s="21">
        <f t="shared" si="1"/>
        <v>0</v>
      </c>
      <c r="K41" s="20">
        <f t="shared" si="2"/>
        <v>0</v>
      </c>
      <c r="L41" s="21" t="str">
        <f t="shared" si="3"/>
        <v/>
      </c>
      <c r="M41" s="57" t="b">
        <f>L8&gt;=8</f>
        <v>0</v>
      </c>
      <c r="N41" s="39" t="b">
        <f>L7&gt;8</f>
        <v>0</v>
      </c>
      <c r="O41" s="1" t="e">
        <f>FIXED(G25,2,2)&amp;"｛"&amp;FIXED(I33,2,2)&amp;"Ｘ"&amp;FIXED(J33,2,2)&amp;"+"&amp;FIXED(I8,2,2)&amp;"Ｘ（"&amp;FIXED(I34,2,2)&amp;"+"&amp;FIXED(I35,2,2)&amp;"+"&amp;FIXED(I36,2,2)&amp;"+"&amp;FIXED(I37,2,2)&amp;"+"&amp;FIXED(I38,2,2)&amp;"+"&amp;FIXED(I39,2,2)&amp;"+"&amp;FIXED(I40,2,2)&amp;"+"&amp;FIXED(I41,2,2)&amp;"）｝"</f>
        <v>#VALUE!</v>
      </c>
    </row>
    <row r="42" spans="2:27" ht="20.100000000000001" customHeight="1" x14ac:dyDescent="0.2">
      <c r="C42" s="7" t="s">
        <v>12</v>
      </c>
      <c r="D42" s="22">
        <f>C35/C31</f>
        <v>0.53502673796791456</v>
      </c>
      <c r="H42" s="6" t="s">
        <v>63</v>
      </c>
      <c r="I42" s="20" t="str">
        <f t="shared" si="0"/>
        <v/>
      </c>
      <c r="J42" s="21">
        <f t="shared" si="1"/>
        <v>0</v>
      </c>
      <c r="K42" s="20">
        <f t="shared" si="2"/>
        <v>0</v>
      </c>
      <c r="L42" s="21" t="str">
        <f t="shared" si="3"/>
        <v/>
      </c>
      <c r="M42" s="57" t="b">
        <f>L8&gt;=9</f>
        <v>0</v>
      </c>
      <c r="N42" s="39" t="b">
        <f>L7&gt;9</f>
        <v>0</v>
      </c>
      <c r="O42" s="1" t="e">
        <f>FIXED(G25,2,2)&amp;"｛"&amp;FIXED(I33,2,2)&amp;"Ｘ"&amp;FIXED(J33,2,2)&amp;"+"&amp;FIXED(I8,2,2)&amp;"Ｘ（"&amp;FIXED(I34,2,2)&amp;"+"&amp;FIXED(I35,2,2)&amp;"+"&amp;FIXED(I36,2,2)&amp;"+"&amp;FIXED(I37,2,2)&amp;"+"&amp;FIXED(I38,2,2)&amp;"+"&amp;FIXED(I39,2,2)&amp;"+"&amp;FIXED(I40,2,2)&amp;"+"&amp;FIXED(I41,2,2)&amp;"+"&amp;FIXED(I42,2,2)&amp;"）｝"</f>
        <v>#VALUE!</v>
      </c>
    </row>
    <row r="43" spans="2:27" ht="20.100000000000001" customHeight="1" thickBot="1" x14ac:dyDescent="0.25">
      <c r="C43" s="7" t="s">
        <v>13</v>
      </c>
      <c r="D43" s="22">
        <f>1-D42</f>
        <v>0.46497326203208544</v>
      </c>
      <c r="F43" s="2"/>
      <c r="H43" s="77" t="s">
        <v>44</v>
      </c>
      <c r="I43" s="75"/>
      <c r="J43" s="74">
        <f>SUM(J33:J42)</f>
        <v>3.9999999999999996</v>
      </c>
      <c r="K43" s="22">
        <f>SUM(K33:K42)</f>
        <v>7.4799999999999995</v>
      </c>
      <c r="L43" s="82">
        <f>SUM(L33:L42)</f>
        <v>22</v>
      </c>
      <c r="M43" s="51"/>
      <c r="N43" s="39"/>
    </row>
    <row r="45" spans="2:27" ht="20.100000000000001" customHeight="1" x14ac:dyDescent="0.2">
      <c r="H45" s="58" t="s">
        <v>50</v>
      </c>
      <c r="I45" s="59"/>
      <c r="J45" s="46" t="s">
        <v>48</v>
      </c>
      <c r="K45" s="46"/>
      <c r="L45" s="68" t="s">
        <v>65</v>
      </c>
    </row>
    <row r="46" spans="2:27" ht="20.100000000000001" customHeight="1" x14ac:dyDescent="0.2">
      <c r="H46" s="41">
        <f>L7*4*G25</f>
        <v>168</v>
      </c>
      <c r="I46" s="9" t="s">
        <v>51</v>
      </c>
      <c r="J46" s="18">
        <f>G25/E19</f>
        <v>30</v>
      </c>
      <c r="K46" s="9" t="s">
        <v>45</v>
      </c>
      <c r="L46" s="7">
        <f>J46*L43</f>
        <v>660</v>
      </c>
    </row>
    <row r="47" spans="2:27" ht="20.100000000000001" customHeight="1" x14ac:dyDescent="0.2">
      <c r="H47" s="68" t="s">
        <v>66</v>
      </c>
      <c r="I47" s="66"/>
      <c r="L47" s="76"/>
    </row>
    <row r="48" spans="2:27" ht="20.100000000000001" customHeight="1" x14ac:dyDescent="0.2">
      <c r="H48" s="7">
        <f>H46+L46</f>
        <v>828</v>
      </c>
      <c r="I48" s="67"/>
    </row>
    <row r="50" spans="3:8" ht="20.100000000000001" customHeight="1" x14ac:dyDescent="0.2">
      <c r="C50" s="127" t="s">
        <v>95</v>
      </c>
      <c r="D50" s="128"/>
      <c r="E50" s="128"/>
      <c r="F50" s="129"/>
      <c r="G50" s="25">
        <f>D42*H16+D43*H15</f>
        <v>12.542727272727271</v>
      </c>
      <c r="H50" s="9" t="s">
        <v>67</v>
      </c>
    </row>
  </sheetData>
  <mergeCells count="23">
    <mergeCell ref="A1:L1"/>
    <mergeCell ref="C6:G6"/>
    <mergeCell ref="G9:H9"/>
    <mergeCell ref="G7:H7"/>
    <mergeCell ref="C8:D8"/>
    <mergeCell ref="G8:H8"/>
    <mergeCell ref="C9:D9"/>
    <mergeCell ref="C50:F50"/>
    <mergeCell ref="C7:D7"/>
    <mergeCell ref="C21:D21"/>
    <mergeCell ref="C13:H13"/>
    <mergeCell ref="C14:E14"/>
    <mergeCell ref="F14:G14"/>
    <mergeCell ref="F15:G15"/>
    <mergeCell ref="G10:H10"/>
    <mergeCell ref="G21:I21"/>
    <mergeCell ref="C24:G24"/>
    <mergeCell ref="C25:F25"/>
    <mergeCell ref="F16:G16"/>
    <mergeCell ref="C19:D19"/>
    <mergeCell ref="G19:I19"/>
    <mergeCell ref="C20:D20"/>
    <mergeCell ref="G20:I20"/>
  </mergeCells>
  <phoneticPr fontId="3"/>
  <pageMargins left="0.78700000000000003" right="0.21" top="0.53" bottom="0.39" header="0.51200000000000001" footer="0.44"/>
  <pageSetup paperSize="9" scale="83"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4"/>
  <sheetViews>
    <sheetView view="pageBreakPreview" zoomScale="75" zoomScaleNormal="70" zoomScaleSheetLayoutView="75" workbookViewId="0">
      <selection activeCell="D22" sqref="D22"/>
    </sheetView>
  </sheetViews>
  <sheetFormatPr defaultRowHeight="20.100000000000001" customHeight="1" x14ac:dyDescent="0.2"/>
  <cols>
    <col min="1" max="1" width="3.25" style="1" customWidth="1"/>
    <col min="2" max="2" width="12" style="1" bestFit="1" customWidth="1"/>
    <col min="3" max="3" width="6" style="1" bestFit="1" customWidth="1"/>
    <col min="4" max="4" width="17" style="1" bestFit="1" customWidth="1"/>
    <col min="5" max="5" width="12.625" style="1" bestFit="1" customWidth="1"/>
    <col min="6" max="6" width="11.375" style="1" bestFit="1" customWidth="1"/>
    <col min="7" max="7" width="11.375" style="1" customWidth="1"/>
    <col min="8" max="8" width="21.125" style="1" bestFit="1" customWidth="1"/>
    <col min="9" max="9" width="20.5" style="1" bestFit="1" customWidth="1"/>
    <col min="10" max="16384" width="9" style="1"/>
  </cols>
  <sheetData>
    <row r="1" spans="1:11" ht="20.100000000000001" customHeight="1" x14ac:dyDescent="0.2">
      <c r="A1" s="1">
        <v>5</v>
      </c>
      <c r="B1" s="1" t="s">
        <v>14</v>
      </c>
    </row>
    <row r="3" spans="1:11" s="2" customFormat="1" ht="20.100000000000001" customHeight="1" x14ac:dyDescent="0.2">
      <c r="B3" s="6"/>
      <c r="C3" s="6"/>
      <c r="D3" s="60" t="s">
        <v>76</v>
      </c>
      <c r="E3" s="60" t="s">
        <v>77</v>
      </c>
      <c r="F3" s="60" t="s">
        <v>78</v>
      </c>
      <c r="G3" s="60" t="s">
        <v>79</v>
      </c>
      <c r="H3" s="60" t="s">
        <v>97</v>
      </c>
      <c r="I3" s="60" t="s">
        <v>98</v>
      </c>
    </row>
    <row r="4" spans="1:11" ht="20.100000000000001" customHeight="1" x14ac:dyDescent="0.2">
      <c r="B4" s="7" t="s">
        <v>15</v>
      </c>
      <c r="C4" s="7" t="s">
        <v>16</v>
      </c>
      <c r="D4" s="83">
        <f>ROUND('P1'!K33*'P1'!$G$50,3)</f>
        <v>59.703000000000003</v>
      </c>
      <c r="E4" s="7"/>
      <c r="F4" s="28">
        <f>'P1'!J43-'P1'!J33/2</f>
        <v>2.9999999999999996</v>
      </c>
      <c r="G4" s="7"/>
      <c r="H4" s="84">
        <f t="shared" ref="H4:H13" si="0">ROUND(D4*F4,4)</f>
        <v>179.10900000000001</v>
      </c>
      <c r="I4" s="7"/>
    </row>
    <row r="5" spans="1:11" ht="20.100000000000001" customHeight="1" x14ac:dyDescent="0.2">
      <c r="B5" s="7"/>
      <c r="C5" s="7" t="s">
        <v>17</v>
      </c>
      <c r="D5" s="83">
        <f>ROUND('P1'!K34*'P1'!$G$50,3)</f>
        <v>10.234999999999999</v>
      </c>
      <c r="E5" s="8"/>
      <c r="F5" s="28">
        <f>'P1'!J43-'P1'!J33-'P1'!J34/2</f>
        <v>1.7999999999999996</v>
      </c>
      <c r="G5" s="8"/>
      <c r="H5" s="84">
        <f t="shared" si="0"/>
        <v>18.422999999999998</v>
      </c>
      <c r="I5" s="7"/>
      <c r="K5" s="10"/>
    </row>
    <row r="6" spans="1:11" ht="20.100000000000001" customHeight="1" x14ac:dyDescent="0.2">
      <c r="B6" s="7"/>
      <c r="C6" s="7" t="s">
        <v>18</v>
      </c>
      <c r="D6" s="83">
        <f>ROUND('P1'!K35*'P1'!$G$50,3)</f>
        <v>8.5289999999999999</v>
      </c>
      <c r="E6" s="8"/>
      <c r="F6" s="28">
        <f>'P1'!J43-'P1'!J33-'P1'!J34-'P1'!J35/2</f>
        <v>1.3999999999999997</v>
      </c>
      <c r="G6" s="8"/>
      <c r="H6" s="84">
        <f t="shared" si="0"/>
        <v>11.9406</v>
      </c>
      <c r="I6" s="7"/>
      <c r="K6" s="13"/>
    </row>
    <row r="7" spans="1:11" ht="20.100000000000001" customHeight="1" x14ac:dyDescent="0.2">
      <c r="B7" s="7"/>
      <c r="C7" s="7" t="s">
        <v>19</v>
      </c>
      <c r="D7" s="83">
        <f>ROUND('P1'!K36*'P1'!$G$50,3)</f>
        <v>6.8230000000000004</v>
      </c>
      <c r="E7" s="8"/>
      <c r="F7" s="28">
        <f>'P1'!J43-'P1'!J33-'P1'!J34-'P1'!J35-'P1'!J36/2</f>
        <v>0.99999999999999978</v>
      </c>
      <c r="G7" s="8"/>
      <c r="H7" s="84">
        <f t="shared" si="0"/>
        <v>6.8230000000000004</v>
      </c>
      <c r="I7" s="7"/>
      <c r="K7" s="10"/>
    </row>
    <row r="8" spans="1:11" ht="20.100000000000001" customHeight="1" x14ac:dyDescent="0.2">
      <c r="B8" s="7"/>
      <c r="C8" s="7" t="s">
        <v>20</v>
      </c>
      <c r="D8" s="83">
        <f>ROUND('P1'!K37*'P1'!$G$50,3)</f>
        <v>5.117</v>
      </c>
      <c r="E8" s="8"/>
      <c r="F8" s="28">
        <f>'P1'!J43-'P1'!J33-'P1'!J34-'P1'!J35-'P1'!J36-'P1'!J37/2</f>
        <v>0.59999999999999964</v>
      </c>
      <c r="G8" s="8"/>
      <c r="H8" s="84">
        <f t="shared" si="0"/>
        <v>3.0701999999999998</v>
      </c>
      <c r="I8" s="7"/>
    </row>
    <row r="9" spans="1:11" ht="20.100000000000001" customHeight="1" x14ac:dyDescent="0.2">
      <c r="B9" s="7"/>
      <c r="C9" s="7" t="s">
        <v>21</v>
      </c>
      <c r="D9" s="83">
        <f>ROUND('P1'!K38*'P1'!$G$50,3)</f>
        <v>3.4119999999999999</v>
      </c>
      <c r="E9" s="8"/>
      <c r="F9" s="28">
        <f>'P1'!J43-'P1'!J33-'P1'!J34-'P1'!J35-'P1'!J36-'P1'!J37-'P1'!J38/2</f>
        <v>0.19999999999999968</v>
      </c>
      <c r="G9" s="8"/>
      <c r="H9" s="84">
        <f t="shared" si="0"/>
        <v>0.68240000000000001</v>
      </c>
      <c r="I9" s="7"/>
    </row>
    <row r="10" spans="1:11" ht="20.100000000000001" customHeight="1" x14ac:dyDescent="0.2">
      <c r="B10" s="7"/>
      <c r="C10" s="7" t="s">
        <v>68</v>
      </c>
      <c r="D10" s="83">
        <f>ROUND('P1'!K39*'P1'!$G$50,3)</f>
        <v>0</v>
      </c>
      <c r="E10" s="8"/>
      <c r="F10" s="28">
        <f>'P1'!J43-'P1'!J33-'P1'!J34-'P1'!J35-'P1'!J36-'P1'!J37-'P1'!J38-'P1'!J39/2</f>
        <v>-3.3306690738754696E-16</v>
      </c>
      <c r="G10" s="8"/>
      <c r="H10" s="84">
        <f t="shared" si="0"/>
        <v>0</v>
      </c>
      <c r="I10" s="7"/>
    </row>
    <row r="11" spans="1:11" ht="20.100000000000001" customHeight="1" x14ac:dyDescent="0.2">
      <c r="B11" s="7"/>
      <c r="C11" s="7" t="s">
        <v>69</v>
      </c>
      <c r="D11" s="83">
        <f>ROUND('P1'!K40*'P1'!$G$50,3)</f>
        <v>0</v>
      </c>
      <c r="E11" s="8"/>
      <c r="F11" s="28">
        <f>'P1'!J43-'P1'!J33-'P1'!J34-'P1'!J35-'P1'!J36-'P1'!J37-'P1'!J38-'P1'!J39-'P1'!J40/2</f>
        <v>-3.3306690738754696E-16</v>
      </c>
      <c r="G11" s="8"/>
      <c r="H11" s="84">
        <f t="shared" si="0"/>
        <v>0</v>
      </c>
      <c r="I11" s="7"/>
    </row>
    <row r="12" spans="1:11" ht="20.100000000000001" customHeight="1" x14ac:dyDescent="0.2">
      <c r="B12" s="7"/>
      <c r="C12" s="7" t="s">
        <v>70</v>
      </c>
      <c r="D12" s="83">
        <f>ROUND('P1'!K41*'P1'!$G$50,3)</f>
        <v>0</v>
      </c>
      <c r="E12" s="8"/>
      <c r="F12" s="28">
        <f>'P1'!J43-'P1'!J33-'P1'!J34-'P1'!J35-'P1'!J36-'P1'!J37-'P1'!J38-'P1'!J39-'P1'!J40-'P1'!J41/2</f>
        <v>-3.3306690738754696E-16</v>
      </c>
      <c r="G12" s="8"/>
      <c r="H12" s="84">
        <f t="shared" si="0"/>
        <v>0</v>
      </c>
      <c r="I12" s="7"/>
    </row>
    <row r="13" spans="1:11" ht="20.100000000000001" customHeight="1" x14ac:dyDescent="0.2">
      <c r="B13" s="7"/>
      <c r="C13" s="7" t="s">
        <v>71</v>
      </c>
      <c r="D13" s="83">
        <f>ROUND('P1'!K42*'P1'!$G$50,3)</f>
        <v>0</v>
      </c>
      <c r="E13" s="8"/>
      <c r="F13" s="28">
        <f>'P1'!J43-'P1'!J33-'P1'!J34-'P1'!J35-'P1'!J36-'P1'!J37-'P1'!J38-'P1'!J39-'P1'!J40-'P1'!J41-'P1'!J42/2</f>
        <v>-3.3306690738754696E-16</v>
      </c>
      <c r="G13" s="8"/>
      <c r="H13" s="84">
        <f t="shared" si="0"/>
        <v>0</v>
      </c>
      <c r="I13" s="7"/>
    </row>
    <row r="14" spans="1:11" ht="20.100000000000001" customHeight="1" x14ac:dyDescent="0.2">
      <c r="B14" s="7"/>
      <c r="C14" s="7" t="s">
        <v>22</v>
      </c>
      <c r="D14" s="25">
        <f>SUM(D4:D13)</f>
        <v>93.819000000000003</v>
      </c>
      <c r="E14" s="8"/>
      <c r="F14" s="20">
        <f>ROUND(H14/D14,4)</f>
        <v>2.3454999999999999</v>
      </c>
      <c r="G14" s="8"/>
      <c r="H14" s="42">
        <f>SUM(H4:H13)</f>
        <v>220.04820000000001</v>
      </c>
      <c r="I14" s="7"/>
    </row>
    <row r="15" spans="1:11" ht="20.100000000000001" customHeight="1" x14ac:dyDescent="0.2">
      <c r="B15" s="7" t="s">
        <v>31</v>
      </c>
      <c r="C15" s="7" t="s">
        <v>23</v>
      </c>
      <c r="D15" s="26">
        <f>ROUND('P1'!J33*'P1'!$E$7*'P1'!$H$14,3)</f>
        <v>12.507999999999999</v>
      </c>
      <c r="E15" s="8"/>
      <c r="F15" s="28">
        <f t="shared" ref="F15:F24" si="1">F4</f>
        <v>2.9999999999999996</v>
      </c>
      <c r="G15" s="8"/>
      <c r="H15" s="29">
        <f t="shared" ref="H15:H24" si="2">ROUND(D15*F15,4)</f>
        <v>37.524000000000001</v>
      </c>
      <c r="I15" s="7"/>
    </row>
    <row r="16" spans="1:11" ht="20.100000000000001" customHeight="1" x14ac:dyDescent="0.2">
      <c r="B16" s="7"/>
      <c r="C16" s="7" t="s">
        <v>24</v>
      </c>
      <c r="D16" s="26">
        <f>ROUND('P1'!J34*'P1'!$E$7*'P1'!$H$14,3)</f>
        <v>2.5019999999999998</v>
      </c>
      <c r="E16" s="8"/>
      <c r="F16" s="28">
        <f t="shared" si="1"/>
        <v>1.7999999999999996</v>
      </c>
      <c r="G16" s="8"/>
      <c r="H16" s="29">
        <f t="shared" si="2"/>
        <v>4.5035999999999996</v>
      </c>
      <c r="I16" s="7"/>
    </row>
    <row r="17" spans="2:12" ht="20.100000000000001" customHeight="1" x14ac:dyDescent="0.2">
      <c r="B17" s="7"/>
      <c r="C17" s="7" t="s">
        <v>25</v>
      </c>
      <c r="D17" s="26">
        <f>ROUND('P1'!J35*'P1'!$E$7*'P1'!$H$14,3)</f>
        <v>2.5019999999999998</v>
      </c>
      <c r="E17" s="7"/>
      <c r="F17" s="28">
        <f t="shared" si="1"/>
        <v>1.3999999999999997</v>
      </c>
      <c r="G17" s="7"/>
      <c r="H17" s="29">
        <f t="shared" si="2"/>
        <v>3.5028000000000001</v>
      </c>
      <c r="I17" s="7"/>
    </row>
    <row r="18" spans="2:12" ht="20.100000000000001" customHeight="1" x14ac:dyDescent="0.2">
      <c r="B18" s="7"/>
      <c r="C18" s="7" t="s">
        <v>26</v>
      </c>
      <c r="D18" s="26">
        <f>ROUND('P1'!J36*'P1'!$E$7*'P1'!$H$14,3)</f>
        <v>2.5019999999999998</v>
      </c>
      <c r="E18" s="7"/>
      <c r="F18" s="28">
        <f t="shared" si="1"/>
        <v>0.99999999999999978</v>
      </c>
      <c r="G18" s="7"/>
      <c r="H18" s="29">
        <f t="shared" si="2"/>
        <v>2.5019999999999998</v>
      </c>
      <c r="I18" s="7"/>
    </row>
    <row r="19" spans="2:12" ht="20.100000000000001" customHeight="1" x14ac:dyDescent="0.2">
      <c r="B19" s="7"/>
      <c r="C19" s="7" t="s">
        <v>27</v>
      </c>
      <c r="D19" s="26">
        <f>ROUND('P1'!J37*'P1'!$E$7*'P1'!$H$14,3)</f>
        <v>2.5019999999999998</v>
      </c>
      <c r="E19" s="7"/>
      <c r="F19" s="28">
        <f t="shared" si="1"/>
        <v>0.59999999999999964</v>
      </c>
      <c r="G19" s="7"/>
      <c r="H19" s="29">
        <f t="shared" si="2"/>
        <v>1.5012000000000001</v>
      </c>
      <c r="I19" s="7"/>
    </row>
    <row r="20" spans="2:12" ht="20.100000000000001" customHeight="1" x14ac:dyDescent="0.2">
      <c r="B20" s="7"/>
      <c r="C20" s="7" t="s">
        <v>28</v>
      </c>
      <c r="D20" s="26">
        <f>ROUND('P1'!J38*'P1'!$E$7*'P1'!$H$14,3)</f>
        <v>2.5019999999999998</v>
      </c>
      <c r="E20" s="7"/>
      <c r="F20" s="28">
        <f t="shared" si="1"/>
        <v>0.19999999999999968</v>
      </c>
      <c r="G20" s="7"/>
      <c r="H20" s="29">
        <f t="shared" si="2"/>
        <v>0.50039999999999996</v>
      </c>
      <c r="I20" s="7"/>
    </row>
    <row r="21" spans="2:12" ht="20.100000000000001" customHeight="1" x14ac:dyDescent="0.2">
      <c r="B21" s="7"/>
      <c r="C21" s="7" t="s">
        <v>72</v>
      </c>
      <c r="D21" s="26">
        <f>ROUND('P1'!J39*'P1'!$E$7*'P1'!$H$14,3)</f>
        <v>0</v>
      </c>
      <c r="E21" s="7"/>
      <c r="F21" s="28">
        <f t="shared" si="1"/>
        <v>-3.3306690738754696E-16</v>
      </c>
      <c r="G21" s="7"/>
      <c r="H21" s="29">
        <f t="shared" si="2"/>
        <v>0</v>
      </c>
      <c r="I21" s="7"/>
    </row>
    <row r="22" spans="2:12" ht="20.100000000000001" customHeight="1" x14ac:dyDescent="0.2">
      <c r="B22" s="7"/>
      <c r="C22" s="7" t="s">
        <v>73</v>
      </c>
      <c r="D22" s="26">
        <f>ROUND('P1'!J40*'P1'!$E$7*'P1'!$H$14,3)</f>
        <v>0</v>
      </c>
      <c r="E22" s="7"/>
      <c r="F22" s="28">
        <f t="shared" si="1"/>
        <v>-3.3306690738754696E-16</v>
      </c>
      <c r="G22" s="7"/>
      <c r="H22" s="29">
        <f t="shared" si="2"/>
        <v>0</v>
      </c>
      <c r="I22" s="7"/>
    </row>
    <row r="23" spans="2:12" ht="20.100000000000001" customHeight="1" x14ac:dyDescent="0.2">
      <c r="B23" s="7"/>
      <c r="C23" s="7" t="s">
        <v>74</v>
      </c>
      <c r="D23" s="26">
        <f>ROUND('P1'!J41*'P1'!$E$7*'P1'!$H$14,3)</f>
        <v>0</v>
      </c>
      <c r="E23" s="7"/>
      <c r="F23" s="28">
        <f t="shared" si="1"/>
        <v>-3.3306690738754696E-16</v>
      </c>
      <c r="G23" s="7"/>
      <c r="H23" s="29">
        <f t="shared" si="2"/>
        <v>0</v>
      </c>
      <c r="I23" s="7"/>
    </row>
    <row r="24" spans="2:12" ht="20.100000000000001" customHeight="1" x14ac:dyDescent="0.2">
      <c r="B24" s="7"/>
      <c r="C24" s="7" t="s">
        <v>75</v>
      </c>
      <c r="D24" s="26">
        <f>ROUND('P1'!J42*'P1'!$E$7*'P1'!$H$14,3)</f>
        <v>0</v>
      </c>
      <c r="E24" s="7"/>
      <c r="F24" s="28">
        <f t="shared" si="1"/>
        <v>-3.3306690738754696E-16</v>
      </c>
      <c r="G24" s="7"/>
      <c r="H24" s="29">
        <f t="shared" si="2"/>
        <v>0</v>
      </c>
      <c r="I24" s="7"/>
    </row>
    <row r="25" spans="2:12" ht="20.100000000000001" customHeight="1" x14ac:dyDescent="0.2">
      <c r="B25" s="7"/>
      <c r="C25" s="7" t="s">
        <v>29</v>
      </c>
      <c r="D25" s="27">
        <f>SUM(D15:D24)</f>
        <v>25.017999999999994</v>
      </c>
      <c r="E25" s="7"/>
      <c r="F25" s="20">
        <f>ROUND(H25/D25,4)</f>
        <v>1.9999</v>
      </c>
      <c r="G25" s="7"/>
      <c r="H25" s="30">
        <f>SUM(H15:H24)</f>
        <v>50.033999999999999</v>
      </c>
      <c r="I25" s="7"/>
    </row>
    <row r="26" spans="2:12" ht="20.100000000000001" customHeight="1" x14ac:dyDescent="0.2">
      <c r="B26" s="7" t="s">
        <v>32</v>
      </c>
      <c r="C26" s="7" t="s">
        <v>144</v>
      </c>
      <c r="D26" s="8"/>
      <c r="E26" s="24">
        <f>ROUND('P1'!I9*'P1'!E7*'P1'!H14*0.333,3)</f>
        <v>4.9569999999999999</v>
      </c>
      <c r="F26" s="7"/>
      <c r="G26" s="31">
        <f>'P1'!I9/2</f>
        <v>1.1900000000000002</v>
      </c>
      <c r="H26" s="7"/>
      <c r="I26" s="20">
        <f>ROUND(E26*G26,4)</f>
        <v>5.8987999999999996</v>
      </c>
    </row>
    <row r="27" spans="2:12" ht="20.100000000000001" customHeight="1" x14ac:dyDescent="0.2">
      <c r="B27" s="7"/>
      <c r="C27" s="7" t="s">
        <v>145</v>
      </c>
      <c r="D27" s="8"/>
      <c r="E27" s="24">
        <f>ROUND('P1'!I9^2/2*'P1'!H15*0.333,3)</f>
        <v>16.975999999999999</v>
      </c>
      <c r="F27" s="7"/>
      <c r="G27" s="31">
        <f>'P1'!I9/3</f>
        <v>0.79333333333333345</v>
      </c>
      <c r="H27" s="7"/>
      <c r="I27" s="20">
        <f>ROUND(E27*G27,4)</f>
        <v>13.467599999999999</v>
      </c>
    </row>
    <row r="28" spans="2:12" ht="20.100000000000001" customHeight="1" x14ac:dyDescent="0.2">
      <c r="B28" s="7"/>
      <c r="C28" s="7" t="s">
        <v>30</v>
      </c>
      <c r="D28" s="7"/>
      <c r="E28" s="31">
        <f>SUM(E26:E27)</f>
        <v>21.933</v>
      </c>
      <c r="F28" s="7"/>
      <c r="G28" s="45"/>
      <c r="H28" s="7"/>
      <c r="I28" s="44"/>
    </row>
    <row r="29" spans="2:12" ht="20.100000000000001" customHeight="1" x14ac:dyDescent="0.2">
      <c r="B29" s="7" t="s">
        <v>33</v>
      </c>
      <c r="C29" s="7" t="s">
        <v>82</v>
      </c>
      <c r="D29" s="31">
        <f>D14+D25</f>
        <v>118.83699999999999</v>
      </c>
      <c r="E29" s="31">
        <f>E28</f>
        <v>21.933</v>
      </c>
      <c r="F29" s="7"/>
      <c r="G29" s="7"/>
      <c r="H29" s="42">
        <f>H25+H14</f>
        <v>270.0822</v>
      </c>
      <c r="I29" s="20">
        <f>SUM(I26:I27)</f>
        <v>19.366399999999999</v>
      </c>
    </row>
    <row r="30" spans="2:12" ht="20.100000000000001" customHeight="1" x14ac:dyDescent="0.2">
      <c r="B30" s="10"/>
      <c r="C30" s="10"/>
      <c r="D30" s="12"/>
      <c r="E30" s="12"/>
      <c r="F30" s="10"/>
      <c r="G30" s="10"/>
      <c r="H30" s="10"/>
      <c r="J30" s="11"/>
    </row>
    <row r="31" spans="2:12" ht="19.5" customHeight="1" x14ac:dyDescent="0.2">
      <c r="B31" s="10"/>
      <c r="C31" s="10"/>
      <c r="D31" s="10"/>
      <c r="E31" s="12"/>
      <c r="F31" s="12"/>
      <c r="G31" s="10"/>
      <c r="H31" s="10"/>
      <c r="I31" s="10"/>
      <c r="K31" s="11"/>
    </row>
    <row r="32" spans="2:12" ht="20.100000000000001" customHeight="1" x14ac:dyDescent="0.2">
      <c r="C32" s="2" t="s">
        <v>107</v>
      </c>
      <c r="D32" s="2"/>
      <c r="E32" s="2"/>
      <c r="G32" s="2"/>
      <c r="H32" s="2" t="s">
        <v>108</v>
      </c>
      <c r="I32" s="2"/>
      <c r="J32" s="2"/>
      <c r="K32" s="2"/>
      <c r="L32" s="2"/>
    </row>
    <row r="33" spans="3:11" ht="20.100000000000001" customHeight="1" x14ac:dyDescent="0.2">
      <c r="C33" s="1" t="s">
        <v>109</v>
      </c>
      <c r="H33" s="1" t="s">
        <v>110</v>
      </c>
    </row>
    <row r="35" spans="3:11" ht="20.100000000000001" customHeight="1" x14ac:dyDescent="0.2">
      <c r="C35" s="2" t="s">
        <v>111</v>
      </c>
      <c r="H35" s="2"/>
    </row>
    <row r="36" spans="3:11" ht="20.100000000000001" customHeight="1" x14ac:dyDescent="0.2">
      <c r="C36" s="1" t="s">
        <v>112</v>
      </c>
      <c r="H36" s="5"/>
    </row>
    <row r="37" spans="3:11" ht="20.100000000000001" customHeight="1" x14ac:dyDescent="0.2">
      <c r="H37" s="5"/>
    </row>
    <row r="38" spans="3:11" ht="20.100000000000001" customHeight="1" x14ac:dyDescent="0.2">
      <c r="C38" s="2" t="s">
        <v>113</v>
      </c>
      <c r="D38" s="5"/>
    </row>
    <row r="39" spans="3:11" ht="20.100000000000001" customHeight="1" x14ac:dyDescent="0.2">
      <c r="C39" s="2" t="s">
        <v>147</v>
      </c>
      <c r="D39" s="138" t="s">
        <v>114</v>
      </c>
      <c r="E39" s="138"/>
      <c r="F39" s="138"/>
      <c r="G39" s="138"/>
      <c r="H39" s="1" t="s">
        <v>115</v>
      </c>
    </row>
    <row r="40" spans="3:11" ht="20.100000000000001" customHeight="1" x14ac:dyDescent="0.2">
      <c r="C40" s="2" t="s">
        <v>148</v>
      </c>
      <c r="D40" s="1" t="s">
        <v>116</v>
      </c>
      <c r="H40" s="1" t="s">
        <v>146</v>
      </c>
    </row>
    <row r="41" spans="3:11" ht="20.100000000000001" customHeight="1" x14ac:dyDescent="0.2">
      <c r="C41" s="4"/>
    </row>
    <row r="42" spans="3:11" ht="20.100000000000001" customHeight="1" x14ac:dyDescent="0.2">
      <c r="C42" s="2" t="s">
        <v>117</v>
      </c>
    </row>
    <row r="43" spans="3:11" ht="20.100000000000001" customHeight="1" x14ac:dyDescent="0.2">
      <c r="C43" s="4" t="s">
        <v>118</v>
      </c>
      <c r="D43" s="1" t="s">
        <v>119</v>
      </c>
    </row>
    <row r="44" spans="3:11" ht="20.100000000000001" customHeight="1" x14ac:dyDescent="0.2">
      <c r="C44" s="4" t="s">
        <v>120</v>
      </c>
      <c r="D44" s="1" t="s">
        <v>121</v>
      </c>
      <c r="E44" s="12"/>
      <c r="F44" s="12"/>
      <c r="G44" s="10"/>
      <c r="H44" s="10"/>
      <c r="I44" s="10"/>
      <c r="K44" s="11"/>
    </row>
  </sheetData>
  <mergeCells count="1">
    <mergeCell ref="D39:G39"/>
  </mergeCells>
  <phoneticPr fontId="3"/>
  <pageMargins left="1.1417322834645669" right="0.19685039370078741" top="1.0236220472440944" bottom="0.19685039370078741" header="0.39370078740157483" footer="0.23622047244094491"/>
  <pageSetup paperSize="9" scale="75"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L15"/>
  <sheetViews>
    <sheetView view="pageBreakPreview" zoomScale="60" zoomScaleNormal="100" workbookViewId="0">
      <selection activeCell="M6" sqref="M6"/>
    </sheetView>
  </sheetViews>
  <sheetFormatPr defaultRowHeight="20.100000000000001" customHeight="1" x14ac:dyDescent="0.2"/>
  <cols>
    <col min="1" max="2" width="3.25" style="1" customWidth="1"/>
    <col min="3" max="3" width="9" style="1"/>
    <col min="4" max="4" width="6" style="1" bestFit="1" customWidth="1"/>
    <col min="5" max="8" width="10.5" style="1" customWidth="1"/>
    <col min="9" max="9" width="10.375" style="1" customWidth="1"/>
    <col min="10" max="16384" width="9" style="1"/>
  </cols>
  <sheetData>
    <row r="1" spans="3:12" ht="20.100000000000001" customHeight="1" x14ac:dyDescent="0.2">
      <c r="C1" s="10"/>
      <c r="D1" s="10"/>
      <c r="E1" s="12"/>
      <c r="F1" s="12"/>
      <c r="G1" s="10"/>
      <c r="H1" s="10"/>
      <c r="I1" s="10"/>
      <c r="K1" s="11"/>
    </row>
    <row r="3" spans="3:12" ht="20.100000000000001" customHeight="1" x14ac:dyDescent="0.2">
      <c r="E3" s="10"/>
      <c r="G3" s="85" t="s">
        <v>122</v>
      </c>
    </row>
    <row r="4" spans="3:12" ht="20.100000000000001" customHeight="1" x14ac:dyDescent="0.2">
      <c r="C4" s="14" t="s">
        <v>123</v>
      </c>
      <c r="D4" s="10"/>
      <c r="G4" s="86"/>
      <c r="H4" s="6" t="s">
        <v>124</v>
      </c>
    </row>
    <row r="5" spans="3:12" ht="20.100000000000001" customHeight="1" x14ac:dyDescent="0.2">
      <c r="C5" s="13"/>
      <c r="D5" s="10"/>
      <c r="G5" s="87"/>
      <c r="H5" s="88"/>
      <c r="I5" s="6" t="s">
        <v>125</v>
      </c>
    </row>
    <row r="6" spans="3:12" ht="20.100000000000001" customHeight="1" x14ac:dyDescent="0.2">
      <c r="C6" s="13"/>
      <c r="D6" s="10"/>
      <c r="G6" s="87"/>
      <c r="H6" s="89"/>
      <c r="I6" s="88"/>
      <c r="J6" s="6" t="s">
        <v>126</v>
      </c>
    </row>
    <row r="7" spans="3:12" s="2" customFormat="1" ht="20.100000000000001" customHeight="1" x14ac:dyDescent="0.2">
      <c r="C7" s="13"/>
      <c r="D7" s="13"/>
      <c r="F7" s="4" t="s">
        <v>127</v>
      </c>
      <c r="G7" s="90"/>
      <c r="H7" s="91"/>
      <c r="I7" s="91"/>
      <c r="J7" s="88"/>
      <c r="K7" s="6" t="s">
        <v>128</v>
      </c>
      <c r="L7" s="92"/>
    </row>
    <row r="8" spans="3:12" s="2" customFormat="1" ht="20.100000000000001" customHeight="1" x14ac:dyDescent="0.2">
      <c r="C8" s="13"/>
      <c r="D8" s="13"/>
      <c r="E8" s="2" t="s">
        <v>129</v>
      </c>
      <c r="G8" s="90"/>
      <c r="H8" s="91"/>
      <c r="I8" s="91"/>
      <c r="J8" s="93"/>
      <c r="K8" s="88"/>
      <c r="L8" s="6" t="s">
        <v>130</v>
      </c>
    </row>
    <row r="9" spans="3:12" ht="20.100000000000001" customHeight="1" x14ac:dyDescent="0.2">
      <c r="C9" s="13"/>
      <c r="D9" s="10"/>
      <c r="G9" s="90" t="s">
        <v>131</v>
      </c>
      <c r="H9" s="91" t="s">
        <v>132</v>
      </c>
      <c r="I9" s="91" t="s">
        <v>133</v>
      </c>
      <c r="J9" s="91" t="s">
        <v>134</v>
      </c>
      <c r="K9" s="94" t="s">
        <v>135</v>
      </c>
      <c r="L9" s="85" t="s">
        <v>136</v>
      </c>
    </row>
    <row r="10" spans="3:12" ht="20.100000000000001" customHeight="1" x14ac:dyDescent="0.2">
      <c r="C10" s="95"/>
      <c r="D10" s="79"/>
      <c r="E10" s="79"/>
      <c r="F10" s="79"/>
      <c r="G10" s="80" t="s">
        <v>137</v>
      </c>
      <c r="H10" s="96" t="s">
        <v>138</v>
      </c>
      <c r="I10" s="96" t="s">
        <v>139</v>
      </c>
      <c r="J10" s="96" t="s">
        <v>140</v>
      </c>
      <c r="K10" s="96" t="s">
        <v>141</v>
      </c>
      <c r="L10" s="96" t="s">
        <v>142</v>
      </c>
    </row>
    <row r="15" spans="3:12" ht="20.100000000000001" customHeight="1" x14ac:dyDescent="0.2">
      <c r="H15" s="4" t="s">
        <v>143</v>
      </c>
    </row>
  </sheetData>
  <phoneticPr fontId="3"/>
  <pageMargins left="0.78740157480314965" right="0.78740157480314965" top="0.78740157480314965" bottom="0.78740157480314965" header="0.51181102362204722" footer="0.51181102362204722"/>
  <pageSetup paperSize="9"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8"/>
  <sheetViews>
    <sheetView view="pageBreakPreview" topLeftCell="A16" zoomScaleNormal="70" zoomScaleSheetLayoutView="100" workbookViewId="0">
      <selection activeCell="G3" sqref="G3"/>
    </sheetView>
  </sheetViews>
  <sheetFormatPr defaultRowHeight="13.5" x14ac:dyDescent="0.15"/>
  <cols>
    <col min="1" max="1" width="4.625" customWidth="1"/>
    <col min="2" max="2" width="7.625" customWidth="1"/>
    <col min="3" max="3" width="10.625" customWidth="1"/>
    <col min="4" max="4" width="20.625" customWidth="1"/>
    <col min="5" max="5" width="9.625" customWidth="1"/>
    <col min="6" max="7" width="15.625" customWidth="1"/>
    <col min="8" max="8" width="9.625" customWidth="1"/>
    <col min="9" max="9" width="9.625" bestFit="1" customWidth="1"/>
    <col min="10" max="10" width="3.75" customWidth="1"/>
    <col min="11" max="11" width="21.375" bestFit="1" customWidth="1"/>
  </cols>
  <sheetData>
    <row r="1" spans="1:10" ht="24" x14ac:dyDescent="0.25">
      <c r="B1" s="139" t="s">
        <v>149</v>
      </c>
      <c r="C1" s="139"/>
      <c r="D1" s="139"/>
      <c r="E1" s="139"/>
      <c r="F1" s="139"/>
      <c r="G1" s="139"/>
      <c r="H1" s="139"/>
      <c r="I1" s="139"/>
      <c r="J1" s="98"/>
    </row>
    <row r="2" spans="1:10" ht="24" x14ac:dyDescent="0.25">
      <c r="B2" s="99"/>
      <c r="C2" s="99"/>
      <c r="D2" s="99"/>
      <c r="E2" s="99"/>
      <c r="F2" s="99"/>
      <c r="G2" s="99"/>
      <c r="H2" s="99"/>
      <c r="I2" s="99"/>
      <c r="J2" s="98"/>
    </row>
    <row r="3" spans="1:10" ht="24" x14ac:dyDescent="0.25">
      <c r="B3" s="120" t="s">
        <v>150</v>
      </c>
      <c r="C3" s="118" t="str">
        <f>'P1'!D3</f>
        <v>○○市○○地内</v>
      </c>
      <c r="D3" s="119"/>
      <c r="F3" s="100" t="s">
        <v>162</v>
      </c>
      <c r="G3" s="117" t="str">
        <f>'P1'!D4</f>
        <v>第○号ダム</v>
      </c>
      <c r="H3" s="99"/>
      <c r="I3" s="99"/>
      <c r="J3" s="98"/>
    </row>
    <row r="5" spans="1:10" x14ac:dyDescent="0.15">
      <c r="A5" s="101"/>
      <c r="B5" s="101"/>
      <c r="C5" s="101"/>
      <c r="D5" s="101"/>
      <c r="E5" s="101"/>
      <c r="F5" s="101"/>
      <c r="G5" s="101"/>
      <c r="H5" s="101"/>
      <c r="I5" s="101"/>
    </row>
    <row r="6" spans="1:10" x14ac:dyDescent="0.15">
      <c r="A6" s="101"/>
      <c r="B6" s="101"/>
      <c r="C6" s="101"/>
      <c r="D6" s="101"/>
      <c r="E6" s="101"/>
      <c r="F6" s="101"/>
      <c r="G6" s="101"/>
      <c r="H6" s="101"/>
      <c r="I6" s="101"/>
    </row>
    <row r="7" spans="1:10" ht="14.25" x14ac:dyDescent="0.15">
      <c r="A7" s="102" t="s">
        <v>151</v>
      </c>
      <c r="B7" s="101"/>
      <c r="C7" s="101"/>
      <c r="D7" s="101"/>
      <c r="E7" s="101"/>
      <c r="F7" s="101"/>
      <c r="G7" s="101"/>
      <c r="H7" s="101"/>
      <c r="I7" s="101"/>
    </row>
    <row r="8" spans="1:10" x14ac:dyDescent="0.15">
      <c r="A8" s="103"/>
      <c r="B8" s="101"/>
      <c r="C8" s="113"/>
      <c r="D8" s="109" t="s">
        <v>161</v>
      </c>
      <c r="E8" s="101"/>
      <c r="F8" s="101"/>
      <c r="G8" s="121">
        <f>'P1'!I10</f>
        <v>3.9999999999999996</v>
      </c>
      <c r="H8" t="s">
        <v>167</v>
      </c>
      <c r="I8" s="101"/>
    </row>
    <row r="9" spans="1:10" x14ac:dyDescent="0.15">
      <c r="A9" s="103"/>
      <c r="B9" s="101"/>
      <c r="C9" s="113"/>
      <c r="D9" s="109" t="s">
        <v>160</v>
      </c>
      <c r="E9" s="101"/>
      <c r="F9" s="101"/>
      <c r="G9" s="122">
        <f>'P1'!K43</f>
        <v>7.4799999999999995</v>
      </c>
      <c r="H9" t="s">
        <v>168</v>
      </c>
      <c r="I9" s="101"/>
    </row>
    <row r="10" spans="1:10" x14ac:dyDescent="0.15">
      <c r="A10" s="103"/>
      <c r="B10" s="101"/>
      <c r="C10" s="101"/>
      <c r="D10" s="101"/>
      <c r="E10" s="101"/>
      <c r="F10" s="101"/>
      <c r="G10" s="101"/>
      <c r="H10" s="101"/>
      <c r="I10" s="101"/>
    </row>
    <row r="11" spans="1:10" x14ac:dyDescent="0.15">
      <c r="A11" s="103"/>
      <c r="B11" s="101"/>
      <c r="C11" s="101"/>
      <c r="D11" s="101"/>
      <c r="E11" s="101"/>
      <c r="F11" s="101"/>
      <c r="G11" s="101"/>
      <c r="H11" s="101"/>
      <c r="I11" s="101"/>
    </row>
    <row r="12" spans="1:10" ht="14.25" x14ac:dyDescent="0.15">
      <c r="A12" s="102" t="s">
        <v>152</v>
      </c>
      <c r="B12" s="101"/>
      <c r="C12" s="101"/>
      <c r="D12" s="101"/>
      <c r="E12" s="101"/>
      <c r="F12" s="101"/>
      <c r="G12" s="101"/>
      <c r="H12" s="101"/>
      <c r="I12" s="101"/>
    </row>
    <row r="13" spans="1:10" ht="14.25" x14ac:dyDescent="0.15">
      <c r="A13" s="102"/>
      <c r="B13" s="101"/>
      <c r="C13" s="113"/>
      <c r="D13" s="101" t="str">
        <f>"b × 1/3 ＝ "&amp;FIXED('P1'!I10,2)&amp;" × 1/3 ＝"</f>
        <v>b × 1/3 ＝ 4.00 × 1/3 ＝</v>
      </c>
      <c r="E13" s="101"/>
      <c r="F13" s="105">
        <f>ROUND('P1'!I10/3,2)</f>
        <v>1.33</v>
      </c>
      <c r="G13" s="101" t="s">
        <v>51</v>
      </c>
      <c r="H13" s="101"/>
      <c r="I13" s="101"/>
    </row>
    <row r="14" spans="1:10" ht="14.25" x14ac:dyDescent="0.15">
      <c r="A14" s="102"/>
      <c r="B14" s="101"/>
      <c r="C14" s="113"/>
      <c r="D14" s="101" t="str">
        <f>"b × 2/3 ＝ "&amp;FIXED('P1'!I10,2)&amp;" × 2/3 ＝"</f>
        <v>b × 2/3 ＝ 4.00 × 2/3 ＝</v>
      </c>
      <c r="E14" s="101"/>
      <c r="F14" s="105">
        <f>ROUND('P1'!I10/3*2,2)</f>
        <v>2.67</v>
      </c>
      <c r="G14" s="101" t="s">
        <v>51</v>
      </c>
      <c r="H14" s="101"/>
      <c r="I14" s="101"/>
    </row>
    <row r="15" spans="1:10" x14ac:dyDescent="0.15">
      <c r="A15" s="101"/>
      <c r="B15" s="101"/>
      <c r="C15" s="113"/>
      <c r="D15" s="109" t="str">
        <f>"合力の作用位置(Ｘ)＝(ＭＶ－ＭＨ)/ΣＶ＝ ("&amp;FIXED('P2'!H29,3)&amp;"-"&amp;FIXED('P2'!I29,3)&amp;")/"&amp;FIXED('P2'!D29,3)&amp;""</f>
        <v>合力の作用位置(Ｘ)＝(ＭＶ－ＭＨ)/ΣＶ＝ (270.082-19.366)/118.837</v>
      </c>
      <c r="E15" s="101"/>
      <c r="F15" s="101"/>
      <c r="G15" s="101"/>
      <c r="H15" s="107">
        <f>ROUND(('P2'!H29-'P2'!I29)/'P2'!D29,3)</f>
        <v>2.11</v>
      </c>
      <c r="I15" s="101" t="s">
        <v>51</v>
      </c>
    </row>
    <row r="16" spans="1:10" x14ac:dyDescent="0.15">
      <c r="A16" s="101"/>
      <c r="B16" s="101"/>
      <c r="C16" s="101"/>
      <c r="D16" s="104" t="str">
        <f>IF(F13&lt;H15,F13&amp;"　&lt;　"&amp;H15,H15&amp;"≦"&amp;F13)</f>
        <v>1.33　&lt;　2.11</v>
      </c>
      <c r="E16" s="101"/>
      <c r="F16" s="101"/>
      <c r="G16" s="101"/>
      <c r="H16" s="106"/>
      <c r="I16" s="101"/>
    </row>
    <row r="17" spans="1:11" x14ac:dyDescent="0.15">
      <c r="A17" s="101"/>
      <c r="B17" s="101"/>
      <c r="C17" s="101"/>
      <c r="D17" s="104" t="str">
        <f>IF(H15&lt;F14,H15&amp;"　&lt;　"&amp;F14,F14&amp;"≦"&amp;H15)</f>
        <v>2.11　&lt;　2.67</v>
      </c>
      <c r="E17" s="101"/>
      <c r="F17" s="101"/>
      <c r="G17" s="101"/>
      <c r="H17" s="106"/>
      <c r="I17" s="101"/>
    </row>
    <row r="18" spans="1:11" ht="8.25" customHeight="1" x14ac:dyDescent="0.15">
      <c r="A18" s="101"/>
      <c r="B18" s="101"/>
      <c r="C18" s="101"/>
      <c r="D18" s="104"/>
      <c r="E18" s="101"/>
      <c r="F18" s="101"/>
      <c r="G18" s="101"/>
      <c r="H18" s="106"/>
      <c r="I18" s="101"/>
    </row>
    <row r="19" spans="1:11" x14ac:dyDescent="0.15">
      <c r="A19" s="101"/>
      <c r="B19" s="101"/>
      <c r="C19" s="101"/>
      <c r="D19" s="104" t="str">
        <f>IF(AND(F13&lt;=H15,H15&lt;=F14),"ミドルサードに入っている","ミドルサードに入っていない")</f>
        <v>ミドルサードに入っている</v>
      </c>
      <c r="E19" s="101"/>
      <c r="F19" s="101"/>
      <c r="G19" s="101"/>
      <c r="H19" s="106"/>
      <c r="I19" s="101"/>
    </row>
    <row r="20" spans="1:11" x14ac:dyDescent="0.15">
      <c r="A20" s="101"/>
      <c r="B20" s="101"/>
      <c r="C20" s="101"/>
      <c r="D20" s="104" t="str">
        <f>IF(AND(0&lt;=H15,H15&lt;='P1'!I10),"合力の作用線が堤底幅内にあるので転倒はしない","合力の作用線が堤底幅外にあるので転倒する")</f>
        <v>合力の作用線が堤底幅内にあるので転倒はしない</v>
      </c>
      <c r="E20" s="101"/>
      <c r="F20" s="101"/>
      <c r="G20" s="101"/>
      <c r="H20" s="106"/>
      <c r="I20" s="101"/>
    </row>
    <row r="21" spans="1:11" x14ac:dyDescent="0.15">
      <c r="A21" s="101"/>
      <c r="B21" s="101"/>
      <c r="C21" s="101"/>
      <c r="D21" s="104"/>
      <c r="E21" s="101"/>
      <c r="F21" s="101"/>
      <c r="G21" s="101"/>
      <c r="H21" s="106"/>
      <c r="I21" s="101"/>
      <c r="K21" s="115" t="s">
        <v>166</v>
      </c>
    </row>
    <row r="22" spans="1:11" x14ac:dyDescent="0.15">
      <c r="A22" s="103"/>
      <c r="B22" s="101"/>
      <c r="C22" s="101"/>
      <c r="D22" s="109" t="str">
        <f>"偏心距離(ｅ)＝  b/2 - X = "&amp;FIXED('P1'!I10,2)&amp;" / 2 - "&amp;FIXED(H15,3)&amp;""</f>
        <v>偏心距離(ｅ)＝  b/2 - X = 4.00 / 2 - 2.110</v>
      </c>
      <c r="E22" s="101"/>
      <c r="G22" s="107">
        <f>'P1'!I10/2-H15</f>
        <v>-0.1100000000000001</v>
      </c>
      <c r="H22" s="101" t="s">
        <v>51</v>
      </c>
      <c r="I22" s="101"/>
      <c r="K22" s="116">
        <f>ABS(G22)</f>
        <v>0.1100000000000001</v>
      </c>
    </row>
    <row r="23" spans="1:11" x14ac:dyDescent="0.15">
      <c r="A23" s="108"/>
      <c r="B23" s="101"/>
      <c r="C23" s="101"/>
      <c r="D23" s="109" t="str">
        <f>"b/6 ＝ "&amp;FIXED('P1'!I10,2)&amp;" × 1/6 ＝"</f>
        <v>b/6 ＝ 4.00 × 1/6 ＝</v>
      </c>
      <c r="E23" s="101"/>
      <c r="G23" s="107">
        <f>'P1'!I10*1/6</f>
        <v>0.66666666666666663</v>
      </c>
      <c r="H23" s="101" t="s">
        <v>51</v>
      </c>
      <c r="I23" s="101"/>
    </row>
    <row r="24" spans="1:11" ht="7.5" customHeight="1" x14ac:dyDescent="0.15">
      <c r="A24" s="108"/>
      <c r="B24" s="101"/>
      <c r="C24" s="101"/>
      <c r="D24" s="109"/>
      <c r="E24" s="101"/>
      <c r="F24" s="101"/>
      <c r="G24" s="101"/>
      <c r="H24" s="101"/>
      <c r="I24" s="101"/>
    </row>
    <row r="25" spans="1:11" x14ac:dyDescent="0.15">
      <c r="A25" s="108"/>
      <c r="B25" s="101"/>
      <c r="C25" s="101"/>
      <c r="D25" s="104" t="str">
        <f>IF(G22&lt;G23,"合力の作用線と堤底との交点がmiddle third内にあるので，上流端に引張応力を生じない。","上流側に引張力が発生する")</f>
        <v>合力の作用線と堤底との交点がmiddle third内にあるので，上流端に引張応力を生じない。</v>
      </c>
      <c r="E25" s="101"/>
      <c r="F25" s="101"/>
      <c r="G25" s="101"/>
      <c r="H25" s="101"/>
      <c r="I25" s="101"/>
    </row>
    <row r="26" spans="1:11" x14ac:dyDescent="0.15">
      <c r="A26" s="108"/>
      <c r="B26" s="101"/>
      <c r="C26" s="101"/>
      <c r="D26" s="104"/>
      <c r="E26" s="101"/>
      <c r="F26" s="101"/>
      <c r="G26" s="101"/>
      <c r="H26" s="101"/>
      <c r="I26" s="101"/>
    </row>
    <row r="27" spans="1:11" x14ac:dyDescent="0.15">
      <c r="A27" s="108"/>
      <c r="B27" s="101"/>
      <c r="C27" s="101"/>
      <c r="D27" s="101"/>
      <c r="E27" s="101"/>
      <c r="F27" s="101"/>
      <c r="G27" s="101"/>
      <c r="H27" s="101"/>
      <c r="I27" s="101"/>
    </row>
    <row r="28" spans="1:11" ht="14.25" x14ac:dyDescent="0.15">
      <c r="A28" s="102" t="s">
        <v>153</v>
      </c>
      <c r="B28" s="101"/>
      <c r="C28" s="101"/>
      <c r="D28" s="101"/>
      <c r="E28" s="101"/>
      <c r="F28" s="101"/>
      <c r="G28" s="101"/>
      <c r="H28" s="101"/>
      <c r="I28" s="101"/>
    </row>
    <row r="29" spans="1:11" x14ac:dyDescent="0.15">
      <c r="A29" s="103"/>
      <c r="B29" s="101"/>
      <c r="C29" s="113"/>
      <c r="D29" s="109" t="str">
        <f>"内部応力（σ１）＝ ΣＶ/b×(1＋6ｅ/b） ＝"&amp;FIXED('P2'!D29,3)&amp;" /4×(1＋6×"&amp;FIXED('P4 (修正)'!K22,3)&amp;"/4）"</f>
        <v>内部応力（σ１）＝ ΣＶ/b×(1＋6ｅ/b） ＝118.837 /4×(1＋6×0.110/4）</v>
      </c>
      <c r="E29" s="101"/>
      <c r="F29" s="101"/>
      <c r="H29" s="101">
        <f>ROUND('P2'!$D$29/4*(1+6*ABS($G$22)/4),3)</f>
        <v>34.610999999999997</v>
      </c>
      <c r="I29" s="101" t="s">
        <v>154</v>
      </c>
    </row>
    <row r="30" spans="1:11" x14ac:dyDescent="0.15">
      <c r="A30" s="101"/>
      <c r="B30" s="101"/>
      <c r="C30" s="113"/>
      <c r="D30" s="109" t="str">
        <f>"　　　　（σ１）＝ ΣＶ/b×(1－6ｅ/b） ＝"&amp;FIXED('P2'!D29,3)&amp;" /4×(1－6×"&amp;FIXED('P4 (修正)'!K22,3)&amp;"/4）"</f>
        <v>　　　　（σ１）＝ ΣＶ/b×(1－6ｅ/b） ＝118.837 /4×(1－6×0.110/4）</v>
      </c>
      <c r="E30" s="101"/>
      <c r="F30" s="101"/>
      <c r="H30" s="101">
        <f>ROUND('P2'!$D$29/4*(1-6*ABS($G$22)/4),3)</f>
        <v>24.806999999999999</v>
      </c>
      <c r="I30" s="101" t="s">
        <v>154</v>
      </c>
    </row>
    <row r="31" spans="1:11" ht="14.25" x14ac:dyDescent="0.2">
      <c r="A31" s="103"/>
      <c r="B31" s="101"/>
      <c r="C31" s="101"/>
      <c r="D31" s="109" t="s">
        <v>155</v>
      </c>
      <c r="E31" s="101"/>
      <c r="F31" s="101"/>
      <c r="H31" s="101">
        <f>H29</f>
        <v>34.610999999999997</v>
      </c>
      <c r="I31" s="101" t="s">
        <v>154</v>
      </c>
    </row>
    <row r="32" spans="1:11" ht="14.25" x14ac:dyDescent="0.2">
      <c r="A32" s="103"/>
      <c r="B32" s="101"/>
      <c r="C32" s="101"/>
      <c r="D32" s="109" t="s">
        <v>156</v>
      </c>
      <c r="E32" s="101"/>
      <c r="F32" s="101"/>
      <c r="H32" s="101">
        <f>H30</f>
        <v>24.806999999999999</v>
      </c>
      <c r="I32" s="101" t="s">
        <v>154</v>
      </c>
      <c r="K32" s="104"/>
    </row>
    <row r="33" spans="1:11" ht="7.5" customHeight="1" x14ac:dyDescent="0.15">
      <c r="A33" s="103"/>
      <c r="B33" s="101"/>
      <c r="C33" s="101"/>
      <c r="D33" s="101"/>
      <c r="E33" s="101"/>
      <c r="F33" s="101"/>
      <c r="G33" s="101"/>
      <c r="H33" s="101"/>
      <c r="I33" s="101"/>
    </row>
    <row r="34" spans="1:11" ht="13.5" customHeight="1" x14ac:dyDescent="0.2">
      <c r="A34" s="103"/>
      <c r="B34" s="101"/>
      <c r="C34" s="101"/>
      <c r="D34" s="110" t="s">
        <v>157</v>
      </c>
      <c r="E34" s="101" t="str">
        <f>IF(H31&lt;'P1'!E9,H31&amp;"&lt;"&amp;'P1'!E9&amp;" 　この結果、安全である ",H31&amp;"≧"&amp;'P1'!E9&amp;" 　この結果、安全でない ")</f>
        <v xml:space="preserve">34.611&lt;200 　この結果、安全である </v>
      </c>
      <c r="F34" s="101"/>
      <c r="G34" s="101"/>
      <c r="H34" s="101"/>
      <c r="I34" s="101"/>
      <c r="K34" s="114"/>
    </row>
    <row r="35" spans="1:11" ht="14.25" x14ac:dyDescent="0.2">
      <c r="A35" s="103"/>
      <c r="B35" s="101"/>
      <c r="C35" s="101"/>
      <c r="D35" s="110" t="s">
        <v>158</v>
      </c>
      <c r="E35" s="101" t="str">
        <f>IF(H32&lt;'P1'!E9,H32&amp;"&lt;"&amp;'P1'!E9&amp;" 　この結果、安全である ",H32&amp;"≧"&amp;'P1'!E9&amp;" 　この結果、安全でない ")</f>
        <v xml:space="preserve">24.807&lt;200 　この結果、安全である </v>
      </c>
      <c r="F35" s="101"/>
      <c r="G35" s="101"/>
      <c r="H35" s="101"/>
      <c r="I35" s="101"/>
    </row>
    <row r="36" spans="1:11" x14ac:dyDescent="0.15">
      <c r="A36" s="103"/>
      <c r="B36" s="101"/>
      <c r="C36" s="101"/>
      <c r="D36" s="110"/>
      <c r="E36" s="101"/>
      <c r="F36" s="101"/>
      <c r="G36" s="101"/>
      <c r="H36" s="101"/>
      <c r="I36" s="101"/>
    </row>
    <row r="37" spans="1:11" x14ac:dyDescent="0.15">
      <c r="A37" s="103"/>
      <c r="B37" s="101"/>
      <c r="C37" s="101"/>
      <c r="D37" s="101"/>
      <c r="E37" s="101"/>
      <c r="F37" s="101"/>
      <c r="G37" s="101"/>
      <c r="H37" s="101"/>
      <c r="I37" s="101"/>
    </row>
    <row r="38" spans="1:11" ht="14.25" x14ac:dyDescent="0.15">
      <c r="A38" s="102" t="s">
        <v>159</v>
      </c>
      <c r="B38" s="101"/>
      <c r="C38" s="101"/>
      <c r="D38" s="101"/>
      <c r="E38" s="101"/>
      <c r="F38" s="101"/>
      <c r="G38" s="101"/>
      <c r="H38" s="101"/>
      <c r="I38" s="101"/>
    </row>
    <row r="39" spans="1:11" x14ac:dyDescent="0.15">
      <c r="A39" s="103"/>
      <c r="B39" s="101"/>
      <c r="C39" s="113"/>
      <c r="D39" s="109" t="str">
        <f>"f × ΣＶ / ΣＨ ＝ 0.50 × "&amp;FIXED('P2'!D29,3)&amp;" / "&amp;FIXED('P2'!E28,3)</f>
        <v>f × ΣＶ / ΣＨ ＝ 0.50 × 118.837 / 21.933</v>
      </c>
      <c r="E39" s="101"/>
      <c r="F39" s="101"/>
      <c r="G39" s="101">
        <f>ROUND('P1'!E8*'P2'!D29/'P2'!E28,3)</f>
        <v>2.7090000000000001</v>
      </c>
      <c r="I39" s="101"/>
    </row>
    <row r="40" spans="1:11" ht="6" customHeight="1" x14ac:dyDescent="0.15">
      <c r="A40" s="103"/>
      <c r="B40" s="101"/>
      <c r="C40" s="101"/>
      <c r="D40" s="104"/>
      <c r="E40" s="101"/>
      <c r="F40" s="101"/>
      <c r="G40" s="101"/>
      <c r="I40" s="101"/>
    </row>
    <row r="41" spans="1:11" x14ac:dyDescent="0.15">
      <c r="A41" s="103"/>
      <c r="B41" s="101"/>
      <c r="C41" s="101"/>
      <c r="D41" s="101" t="str">
        <f>FIXED(G39,3)&amp;"＞1.00この結果、安全である"</f>
        <v>2.709＞1.00この結果、安全である</v>
      </c>
      <c r="E41" s="101"/>
      <c r="F41" s="101"/>
      <c r="G41" s="101"/>
      <c r="H41" s="101"/>
      <c r="I41" s="101"/>
    </row>
    <row r="42" spans="1:11" x14ac:dyDescent="0.15">
      <c r="A42" s="103"/>
      <c r="B42" s="101"/>
      <c r="C42" s="101"/>
      <c r="D42" s="101"/>
      <c r="E42" s="101"/>
      <c r="F42" s="101"/>
      <c r="G42" s="101"/>
      <c r="H42" s="101"/>
      <c r="I42" s="101"/>
    </row>
    <row r="43" spans="1:11" x14ac:dyDescent="0.15">
      <c r="A43" s="103"/>
      <c r="B43" s="101"/>
      <c r="C43" s="101"/>
      <c r="D43" s="101"/>
      <c r="E43" s="101"/>
      <c r="F43" s="101"/>
      <c r="G43" s="101"/>
      <c r="H43" s="101"/>
      <c r="I43" s="101"/>
    </row>
    <row r="44" spans="1:11" ht="14.25" x14ac:dyDescent="0.15">
      <c r="A44" s="102"/>
      <c r="B44" s="101"/>
      <c r="C44" s="101"/>
      <c r="D44" s="101"/>
      <c r="E44" s="101"/>
      <c r="F44" s="101"/>
      <c r="G44" s="101"/>
      <c r="H44" s="101"/>
      <c r="I44" s="101"/>
    </row>
    <row r="45" spans="1:11" ht="14.25" x14ac:dyDescent="0.15">
      <c r="A45" s="102"/>
      <c r="B45" s="101"/>
      <c r="C45" s="101"/>
      <c r="D45" s="101"/>
      <c r="E45" s="101"/>
      <c r="F45" s="101"/>
      <c r="G45" s="101"/>
      <c r="H45" s="101"/>
      <c r="I45" s="101"/>
    </row>
    <row r="46" spans="1:11" ht="14.25" x14ac:dyDescent="0.15">
      <c r="A46" s="102"/>
      <c r="B46" s="101"/>
      <c r="C46" s="101"/>
      <c r="D46" s="101"/>
      <c r="E46" s="101"/>
      <c r="F46" s="101"/>
      <c r="G46" s="101"/>
      <c r="H46" s="101"/>
      <c r="I46" s="101"/>
    </row>
    <row r="47" spans="1:11" x14ac:dyDescent="0.15">
      <c r="A47" s="103"/>
      <c r="B47" s="101"/>
      <c r="C47" s="101"/>
      <c r="D47" s="101"/>
      <c r="E47" s="101"/>
      <c r="F47" s="101"/>
      <c r="G47" s="101"/>
      <c r="H47" s="101"/>
      <c r="I47" s="101"/>
    </row>
    <row r="48" spans="1:11" x14ac:dyDescent="0.15">
      <c r="A48" s="103"/>
      <c r="B48" s="101"/>
      <c r="C48" s="101"/>
      <c r="D48" s="101"/>
      <c r="E48" s="101"/>
      <c r="F48" s="101"/>
      <c r="G48" s="101"/>
      <c r="H48" s="101"/>
      <c r="I48" s="101"/>
    </row>
    <row r="49" spans="1:9" x14ac:dyDescent="0.15">
      <c r="A49" s="103"/>
      <c r="B49" s="101"/>
      <c r="C49" s="101"/>
      <c r="D49" s="111"/>
      <c r="E49" s="101"/>
      <c r="F49" s="101"/>
      <c r="G49" s="101"/>
      <c r="H49" s="101"/>
      <c r="I49" s="101"/>
    </row>
    <row r="50" spans="1:9" x14ac:dyDescent="0.15">
      <c r="A50" s="103"/>
      <c r="B50" s="101"/>
      <c r="C50" s="101"/>
      <c r="D50" s="112"/>
      <c r="F50" s="101"/>
      <c r="H50" s="101"/>
      <c r="I50" s="101"/>
    </row>
    <row r="51" spans="1:9" x14ac:dyDescent="0.15">
      <c r="A51" s="103"/>
      <c r="B51" s="101"/>
      <c r="C51" s="101"/>
      <c r="D51" s="111"/>
      <c r="E51" s="101"/>
      <c r="F51" s="101"/>
      <c r="G51" s="101"/>
      <c r="I51" s="101"/>
    </row>
    <row r="52" spans="1:9" x14ac:dyDescent="0.15">
      <c r="A52" s="103"/>
      <c r="B52" s="101"/>
      <c r="C52" s="101"/>
      <c r="D52" s="101"/>
      <c r="E52" s="101"/>
      <c r="F52" s="101"/>
      <c r="G52" s="101"/>
      <c r="H52" s="101"/>
      <c r="I52" s="101"/>
    </row>
    <row r="53" spans="1:9" x14ac:dyDescent="0.15">
      <c r="A53" s="103"/>
      <c r="B53" s="101"/>
      <c r="C53" s="101"/>
      <c r="E53" s="101"/>
      <c r="F53" s="101"/>
      <c r="G53" s="101"/>
      <c r="H53" s="101"/>
      <c r="I53" s="101"/>
    </row>
    <row r="54" spans="1:9" x14ac:dyDescent="0.15">
      <c r="A54" s="103"/>
      <c r="B54" s="101"/>
      <c r="C54" s="101"/>
      <c r="D54" s="101"/>
      <c r="E54" s="101"/>
      <c r="F54" s="101"/>
      <c r="G54" s="101"/>
      <c r="H54" s="101"/>
      <c r="I54" s="101"/>
    </row>
    <row r="55" spans="1:9" x14ac:dyDescent="0.15">
      <c r="A55" s="103"/>
      <c r="B55" s="101"/>
      <c r="C55" s="101"/>
      <c r="D55" s="101"/>
      <c r="E55" s="101"/>
      <c r="F55" s="101"/>
      <c r="G55" s="101"/>
      <c r="H55" s="101"/>
      <c r="I55" s="101"/>
    </row>
    <row r="56" spans="1:9" x14ac:dyDescent="0.15">
      <c r="A56" s="103"/>
      <c r="B56" s="101"/>
      <c r="C56" s="101"/>
      <c r="D56" s="101"/>
      <c r="E56" s="101"/>
      <c r="F56" s="101"/>
      <c r="G56" s="101"/>
      <c r="H56" s="101"/>
      <c r="I56" s="101"/>
    </row>
    <row r="57" spans="1:9" x14ac:dyDescent="0.15">
      <c r="A57" s="103"/>
      <c r="B57" s="101"/>
      <c r="C57" s="101"/>
      <c r="D57" s="101"/>
      <c r="E57" s="101"/>
      <c r="F57" s="101"/>
      <c r="G57" s="101"/>
      <c r="H57" s="101"/>
      <c r="I57" s="101"/>
    </row>
    <row r="58" spans="1:9" x14ac:dyDescent="0.15">
      <c r="A58" s="101"/>
      <c r="B58" s="101"/>
      <c r="C58" s="101"/>
      <c r="D58" s="101"/>
      <c r="E58" s="101"/>
      <c r="F58" s="101"/>
      <c r="G58" s="101"/>
      <c r="H58" s="101"/>
      <c r="I58" s="101"/>
    </row>
  </sheetData>
  <mergeCells count="1">
    <mergeCell ref="B1:I1"/>
  </mergeCells>
  <phoneticPr fontId="3"/>
  <pageMargins left="0.78740157480314965" right="0.59055118110236227" top="0.98425196850393704" bottom="0.98425196850393704" header="0.51181102362204722" footer="0.51181102362204722"/>
  <pageSetup paperSize="9" scale="86"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3</vt:i4>
      </vt:variant>
    </vt:vector>
  </HeadingPairs>
  <TitlesOfParts>
    <vt:vector size="9" baseType="lpstr">
      <vt:lpstr>表紙</vt:lpstr>
      <vt:lpstr>使用方法</vt:lpstr>
      <vt:lpstr>P1</vt:lpstr>
      <vt:lpstr>P2</vt:lpstr>
      <vt:lpstr>P3</vt:lpstr>
      <vt:lpstr>P4 (修正)</vt:lpstr>
      <vt:lpstr>'P1'!Print_Area</vt:lpstr>
      <vt:lpstr>'P4 (修正)'!Print_Area</vt:lpstr>
      <vt:lpstr>表紙!Print_Area</vt:lpstr>
    </vt:vector>
  </TitlesOfParts>
  <Company>京都府</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NEC-PCuser</dc:creator>
  <cp:lastModifiedBy>setup</cp:lastModifiedBy>
  <cp:lastPrinted>2013-02-01T07:59:42Z</cp:lastPrinted>
  <dcterms:created xsi:type="dcterms:W3CDTF">2000-11-14T01:48:53Z</dcterms:created>
  <dcterms:modified xsi:type="dcterms:W3CDTF">2013-03-15T05:29:01Z</dcterms:modified>
</cp:coreProperties>
</file>