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00" windowWidth="13125" windowHeight="6795"/>
  </bookViews>
  <sheets>
    <sheet name="表紙" sheetId="7" r:id="rId1"/>
    <sheet name="入力シート（ここ以外触らないこと）" sheetId="1" r:id="rId2"/>
    <sheet name="体積計算シート" sheetId="2" r:id="rId3"/>
    <sheet name="図" sheetId="6" r:id="rId4"/>
    <sheet name="安定計算シート" sheetId="4" r:id="rId5"/>
  </sheets>
  <externalReferences>
    <externalReference r:id="rId6"/>
  </externalReferences>
  <definedNames>
    <definedName name="B">[1]入力!$C$5</definedName>
    <definedName name="CC">[1]入力!$C$14</definedName>
    <definedName name="F">[1]入力!$C$13</definedName>
    <definedName name="H">[1]入力!$C$3</definedName>
    <definedName name="hh">[1]入力!$C$4</definedName>
    <definedName name="M">[1]入力!$C$7</definedName>
    <definedName name="N">[1]入力!$C$6</definedName>
    <definedName name="_xlnm.Print_Area" localSheetId="4">安定計算シート!$A$1:$I$69</definedName>
    <definedName name="_xlnm.Print_Area" localSheetId="3">図!$A$1:$R$40</definedName>
    <definedName name="_xlnm.Print_Area" localSheetId="2">体積計算シート!$B$1:$I$54</definedName>
    <definedName name="_xlnm.Print_Area" localSheetId="1">'入力シート（ここ以外触らないこと）'!$A$1:$G$33</definedName>
    <definedName name="_xlnm.Print_Area" localSheetId="0">表紙!$A$1:$H$36</definedName>
    <definedName name="Q">[1]入力!$C$15</definedName>
    <definedName name="RR">[1]入力!$C$10</definedName>
    <definedName name="S">[1]入力!$C$11</definedName>
    <definedName name="W">[1]入力!$C$9</definedName>
  </definedNames>
  <calcPr calcId="145621"/>
</workbook>
</file>

<file path=xl/calcChain.xml><?xml version="1.0" encoding="utf-8"?>
<calcChain xmlns="http://schemas.openxmlformats.org/spreadsheetml/2006/main">
  <c r="G66" i="4" l="1"/>
  <c r="D66" i="4"/>
  <c r="G3" i="4"/>
  <c r="G22" i="4"/>
  <c r="E8" i="6" l="1"/>
  <c r="C13" i="6"/>
  <c r="C4" i="2"/>
  <c r="C3" i="4"/>
  <c r="C16" i="4"/>
  <c r="I40" i="2"/>
  <c r="D41" i="2"/>
  <c r="D44" i="2"/>
  <c r="F44" i="2"/>
  <c r="C13" i="1"/>
  <c r="C14" i="1"/>
  <c r="C15" i="1"/>
  <c r="H48" i="2"/>
  <c r="G37" i="2"/>
  <c r="H7" i="4"/>
  <c r="E9" i="4"/>
  <c r="I9" i="4"/>
  <c r="E13" i="4"/>
  <c r="H13" i="4"/>
  <c r="E15" i="4"/>
  <c r="E17" i="4"/>
  <c r="H15" i="4"/>
  <c r="D28" i="4"/>
  <c r="D27" i="4"/>
  <c r="F64" i="4"/>
  <c r="D62" i="4"/>
  <c r="D64" i="4"/>
  <c r="F28" i="4"/>
  <c r="F27" i="4"/>
  <c r="G37" i="4"/>
  <c r="D37" i="4"/>
  <c r="G23" i="4"/>
  <c r="D23" i="4"/>
  <c r="F16" i="4"/>
  <c r="F14" i="4"/>
  <c r="C14" i="4"/>
  <c r="F10" i="4"/>
  <c r="C10" i="4"/>
  <c r="F8" i="4"/>
  <c r="F3" i="4"/>
  <c r="C26" i="1"/>
  <c r="I65" i="4"/>
  <c r="F14" i="2"/>
  <c r="D22" i="4"/>
  <c r="P36" i="6"/>
  <c r="N28" i="6"/>
  <c r="J3" i="6"/>
  <c r="H2" i="6"/>
  <c r="H10" i="6"/>
  <c r="H16" i="6"/>
  <c r="J10" i="6"/>
  <c r="C47" i="2"/>
  <c r="C45" i="2"/>
  <c r="C37" i="2"/>
  <c r="C43" i="2"/>
  <c r="C40" i="2"/>
  <c r="F26" i="2"/>
  <c r="F25" i="2"/>
  <c r="F24" i="2"/>
  <c r="F22" i="2"/>
  <c r="F21" i="2"/>
  <c r="F20" i="2"/>
  <c r="F19" i="2"/>
  <c r="F18" i="2"/>
  <c r="F17" i="2"/>
  <c r="F16" i="2"/>
  <c r="F15" i="2"/>
  <c r="F10" i="2"/>
  <c r="F8" i="2"/>
  <c r="F7" i="2"/>
  <c r="E6" i="2"/>
  <c r="H4" i="2"/>
  <c r="F12" i="2"/>
  <c r="F11" i="2"/>
  <c r="F13" i="2"/>
  <c r="C16" i="1"/>
  <c r="I13" i="4"/>
  <c r="H46" i="2"/>
  <c r="C46" i="2"/>
  <c r="C48" i="2"/>
  <c r="F23" i="2"/>
  <c r="D65" i="4"/>
  <c r="C49" i="2"/>
  <c r="H49" i="2"/>
  <c r="H50" i="2"/>
  <c r="E52" i="2"/>
  <c r="C50" i="2"/>
  <c r="E51" i="2"/>
  <c r="I53" i="2"/>
  <c r="C30" i="1"/>
  <c r="E7" i="4"/>
  <c r="C53" i="2"/>
  <c r="I15" i="4"/>
  <c r="I17" i="4"/>
  <c r="F27" i="2"/>
  <c r="I7" i="4"/>
  <c r="I11" i="4"/>
  <c r="E11" i="4"/>
  <c r="C8" i="4"/>
  <c r="H29" i="4"/>
  <c r="D29" i="4"/>
  <c r="D53" i="4"/>
  <c r="G53" i="4"/>
  <c r="D55" i="4"/>
  <c r="D34" i="4"/>
  <c r="D31" i="4"/>
  <c r="D33" i="4"/>
  <c r="D30" i="4"/>
  <c r="D36" i="4" l="1"/>
  <c r="G36" i="4"/>
  <c r="D43" i="4"/>
  <c r="D39" i="4" l="1"/>
  <c r="F60" i="4"/>
  <c r="H43" i="4"/>
  <c r="H45" i="4" s="1"/>
  <c r="E48" i="4" s="1"/>
  <c r="D60" i="4"/>
  <c r="H44" i="4"/>
  <c r="H46" i="4" s="1"/>
  <c r="E49" i="4" s="1"/>
  <c r="D44" i="4"/>
  <c r="D68" i="4" l="1"/>
  <c r="F68" i="4"/>
  <c r="D69" i="4" s="1"/>
</calcChain>
</file>

<file path=xl/sharedStrings.xml><?xml version="1.0" encoding="utf-8"?>
<sst xmlns="http://schemas.openxmlformats.org/spreadsheetml/2006/main" count="205" uniqueCount="145">
  <si>
    <t>タイプ</t>
    <phoneticPr fontId="2"/>
  </si>
  <si>
    <t>下流のり</t>
    <rPh sb="0" eb="2">
      <t>カリュウ</t>
    </rPh>
    <phoneticPr fontId="2"/>
  </si>
  <si>
    <t>上流のり</t>
    <rPh sb="0" eb="2">
      <t>ジョウリュウ</t>
    </rPh>
    <phoneticPr fontId="2"/>
  </si>
  <si>
    <t>治山ダムの規模</t>
    <rPh sb="0" eb="2">
      <t>チサン</t>
    </rPh>
    <rPh sb="5" eb="7">
      <t>キボ</t>
    </rPh>
    <phoneticPr fontId="2"/>
  </si>
  <si>
    <t>高さ</t>
    <rPh sb="0" eb="1">
      <t>タカ</t>
    </rPh>
    <phoneticPr fontId="2"/>
  </si>
  <si>
    <t>幅</t>
    <rPh sb="0" eb="1">
      <t>ハバ</t>
    </rPh>
    <phoneticPr fontId="2"/>
  </si>
  <si>
    <t>水の単位体積重量</t>
    <rPh sb="0" eb="1">
      <t>ミズ</t>
    </rPh>
    <rPh sb="2" eb="4">
      <t>タンイ</t>
    </rPh>
    <rPh sb="4" eb="6">
      <t>タイセキ</t>
    </rPh>
    <rPh sb="6" eb="8">
      <t>ジュウリョウ</t>
    </rPh>
    <phoneticPr fontId="2"/>
  </si>
  <si>
    <t>木材の単位体積重量</t>
    <rPh sb="0" eb="2">
      <t>モクザイ</t>
    </rPh>
    <rPh sb="3" eb="5">
      <t>タンイ</t>
    </rPh>
    <rPh sb="5" eb="7">
      <t>タイセキ</t>
    </rPh>
    <rPh sb="7" eb="9">
      <t>ジュウリョウ</t>
    </rPh>
    <phoneticPr fontId="2"/>
  </si>
  <si>
    <t>越流水深</t>
    <rPh sb="0" eb="1">
      <t>エツ</t>
    </rPh>
    <rPh sb="1" eb="2">
      <t>リュウ</t>
    </rPh>
    <rPh sb="2" eb="4">
      <t>スイシン</t>
    </rPh>
    <phoneticPr fontId="2"/>
  </si>
  <si>
    <t>摩擦係数</t>
    <rPh sb="0" eb="2">
      <t>マサツ</t>
    </rPh>
    <rPh sb="2" eb="4">
      <t>ケイスウ</t>
    </rPh>
    <phoneticPr fontId="2"/>
  </si>
  <si>
    <t>土圧係数</t>
    <rPh sb="0" eb="1">
      <t>ド</t>
    </rPh>
    <rPh sb="1" eb="2">
      <t>アツ</t>
    </rPh>
    <rPh sb="2" eb="4">
      <t>ケイスウ</t>
    </rPh>
    <phoneticPr fontId="2"/>
  </si>
  <si>
    <t>中詰材の内部摩擦角</t>
    <rPh sb="0" eb="1">
      <t>ナカ</t>
    </rPh>
    <rPh sb="1" eb="2">
      <t>ヅメ</t>
    </rPh>
    <rPh sb="2" eb="3">
      <t>ザイ</t>
    </rPh>
    <rPh sb="4" eb="6">
      <t>ナイブ</t>
    </rPh>
    <rPh sb="6" eb="8">
      <t>マサツ</t>
    </rPh>
    <rPh sb="8" eb="9">
      <t>カク</t>
    </rPh>
    <phoneticPr fontId="2"/>
  </si>
  <si>
    <t>許容地盤支持力</t>
    <rPh sb="0" eb="2">
      <t>キョヨウ</t>
    </rPh>
    <rPh sb="2" eb="4">
      <t>ジバン</t>
    </rPh>
    <rPh sb="4" eb="6">
      <t>シジ</t>
    </rPh>
    <rPh sb="6" eb="7">
      <t>リョク</t>
    </rPh>
    <phoneticPr fontId="2"/>
  </si>
  <si>
    <t>備考</t>
    <rPh sb="0" eb="2">
      <t>ビコウ</t>
    </rPh>
    <phoneticPr fontId="2"/>
  </si>
  <si>
    <t>入力欄</t>
    <rPh sb="0" eb="2">
      <t>ニュウリョク</t>
    </rPh>
    <rPh sb="2" eb="3">
      <t>ラン</t>
    </rPh>
    <phoneticPr fontId="2"/>
  </si>
  <si>
    <t>施工箇所　市町名</t>
    <rPh sb="0" eb="2">
      <t>セコウ</t>
    </rPh>
    <rPh sb="2" eb="4">
      <t>カショ</t>
    </rPh>
    <rPh sb="5" eb="6">
      <t>シ</t>
    </rPh>
    <rPh sb="6" eb="8">
      <t>チョウメイ</t>
    </rPh>
    <phoneticPr fontId="2"/>
  </si>
  <si>
    <t>小字等</t>
    <rPh sb="0" eb="2">
      <t>コアザ</t>
    </rPh>
    <rPh sb="2" eb="3">
      <t>ナド</t>
    </rPh>
    <phoneticPr fontId="2"/>
  </si>
  <si>
    <t>ｍ表示</t>
    <rPh sb="1" eb="3">
      <t>ヒョウジ</t>
    </rPh>
    <phoneticPr fontId="2"/>
  </si>
  <si>
    <t>°数表示</t>
    <rPh sb="1" eb="2">
      <t>スウ</t>
    </rPh>
    <rPh sb="2" eb="4">
      <t>ヒョウジ</t>
    </rPh>
    <phoneticPr fontId="2"/>
  </si>
  <si>
    <t>木材と中詰石材の体積比率</t>
    <rPh sb="0" eb="2">
      <t>モクザイ</t>
    </rPh>
    <rPh sb="3" eb="4">
      <t>ナカ</t>
    </rPh>
    <rPh sb="4" eb="5">
      <t>ヅメ</t>
    </rPh>
    <rPh sb="5" eb="6">
      <t>イシ</t>
    </rPh>
    <rPh sb="6" eb="7">
      <t>ザイ</t>
    </rPh>
    <rPh sb="8" eb="10">
      <t>タイセキ</t>
    </rPh>
    <rPh sb="10" eb="12">
      <t>ヒリツ</t>
    </rPh>
    <phoneticPr fontId="2"/>
  </si>
  <si>
    <t>木材の平均径</t>
    <rPh sb="0" eb="2">
      <t>モクザイ</t>
    </rPh>
    <rPh sb="3" eb="5">
      <t>ヘイキン</t>
    </rPh>
    <rPh sb="5" eb="6">
      <t>ケイ</t>
    </rPh>
    <phoneticPr fontId="2"/>
  </si>
  <si>
    <t>太鼓材の径</t>
    <rPh sb="0" eb="2">
      <t>タイコ</t>
    </rPh>
    <rPh sb="2" eb="3">
      <t>ザイ</t>
    </rPh>
    <rPh sb="4" eb="5">
      <t>ケイ</t>
    </rPh>
    <phoneticPr fontId="2"/>
  </si>
  <si>
    <t>堤体本体体積</t>
    <rPh sb="0" eb="2">
      <t>テイタイ</t>
    </rPh>
    <rPh sb="2" eb="4">
      <t>ホンタイ</t>
    </rPh>
    <rPh sb="4" eb="6">
      <t>タイセキ</t>
    </rPh>
    <phoneticPr fontId="2"/>
  </si>
  <si>
    <t>平均断面積</t>
    <rPh sb="0" eb="2">
      <t>ヘイキン</t>
    </rPh>
    <rPh sb="2" eb="5">
      <t>ダンメンセキ</t>
    </rPh>
    <phoneticPr fontId="2"/>
  </si>
  <si>
    <t>段数</t>
    <rPh sb="0" eb="2">
      <t>ダンスウ</t>
    </rPh>
    <phoneticPr fontId="2"/>
  </si>
  <si>
    <t>段</t>
    <rPh sb="0" eb="1">
      <t>ダン</t>
    </rPh>
    <phoneticPr fontId="2"/>
  </si>
  <si>
    <t>横木</t>
    <rPh sb="0" eb="2">
      <t>ヨコギ</t>
    </rPh>
    <phoneticPr fontId="2"/>
  </si>
  <si>
    <t>縦木</t>
    <rPh sb="0" eb="1">
      <t>タテ</t>
    </rPh>
    <rPh sb="1" eb="2">
      <t>キ</t>
    </rPh>
    <phoneticPr fontId="2"/>
  </si>
  <si>
    <t>体積比率</t>
    <rPh sb="0" eb="2">
      <t>タイセキ</t>
    </rPh>
    <rPh sb="2" eb="4">
      <t>ヒリツ</t>
    </rPh>
    <phoneticPr fontId="2"/>
  </si>
  <si>
    <t>平均体積重量</t>
    <rPh sb="0" eb="2">
      <t>ヘイキン</t>
    </rPh>
    <rPh sb="2" eb="4">
      <t>タイセキ</t>
    </rPh>
    <rPh sb="4" eb="6">
      <t>ジュウリョウ</t>
    </rPh>
    <phoneticPr fontId="2"/>
  </si>
  <si>
    <t>安定計算</t>
    <rPh sb="0" eb="2">
      <t>アンテイ</t>
    </rPh>
    <rPh sb="2" eb="4">
      <t>ケイサン</t>
    </rPh>
    <phoneticPr fontId="2"/>
  </si>
  <si>
    <t xml:space="preserve">計算 </t>
    <phoneticPr fontId="9"/>
  </si>
  <si>
    <t>荷重の計算式</t>
    <rPh sb="0" eb="2">
      <t>カジュウ</t>
    </rPh>
    <rPh sb="3" eb="6">
      <t>ケイサンシキ</t>
    </rPh>
    <phoneticPr fontId="9"/>
  </si>
  <si>
    <t>荷重</t>
    <phoneticPr fontId="9"/>
  </si>
  <si>
    <t>アームの計算式</t>
  </si>
  <si>
    <t>アーム</t>
    <phoneticPr fontId="9"/>
  </si>
  <si>
    <t>モーメント</t>
  </si>
  <si>
    <t>区分</t>
    <phoneticPr fontId="9"/>
  </si>
  <si>
    <t>m</t>
    <phoneticPr fontId="9"/>
  </si>
  <si>
    <r>
      <t>Ｄ</t>
    </r>
    <r>
      <rPr>
        <vertAlign val="subscript"/>
        <sz val="10"/>
        <rFont val="ＭＳ 明朝"/>
        <family val="1"/>
        <charset val="128"/>
      </rPr>
      <t>1</t>
    </r>
    <phoneticPr fontId="11"/>
  </si>
  <si>
    <t>b×h×ω</t>
  </si>
  <si>
    <t>b×h'×γ'</t>
    <phoneticPr fontId="9"/>
  </si>
  <si>
    <r>
      <t>Ｗ</t>
    </r>
    <r>
      <rPr>
        <vertAlign val="subscript"/>
        <sz val="10"/>
        <rFont val="ＭＳ 明朝"/>
        <family val="1"/>
        <charset val="128"/>
      </rPr>
      <t>2</t>
    </r>
    <phoneticPr fontId="11"/>
  </si>
  <si>
    <t>1/2×h</t>
    <phoneticPr fontId="9"/>
  </si>
  <si>
    <t>計</t>
  </si>
  <si>
    <r>
      <t>鉛直分力（Σ</t>
    </r>
    <r>
      <rPr>
        <vertAlign val="subscript"/>
        <sz val="10"/>
        <rFont val="ＭＳ 明朝"/>
        <family val="1"/>
        <charset val="128"/>
      </rPr>
      <t>Ｖ</t>
    </r>
    <r>
      <rPr>
        <sz val="10"/>
        <rFont val="ＭＳ 明朝"/>
        <family val="1"/>
        <charset val="128"/>
      </rPr>
      <t>）</t>
    </r>
    <phoneticPr fontId="11"/>
  </si>
  <si>
    <r>
      <t>抵抗モーメント （Ｍ</t>
    </r>
    <r>
      <rPr>
        <vertAlign val="subscript"/>
        <sz val="10"/>
        <rFont val="ＭＳ 明朝"/>
        <family val="1"/>
        <charset val="128"/>
      </rPr>
      <t>Ｖ</t>
    </r>
    <r>
      <rPr>
        <sz val="10"/>
        <rFont val="ＭＳ 明朝"/>
        <family val="1"/>
        <charset val="128"/>
      </rPr>
      <t>）</t>
    </r>
    <phoneticPr fontId="11"/>
  </si>
  <si>
    <r>
      <t>h</t>
    </r>
    <r>
      <rPr>
        <vertAlign val="superscript"/>
        <sz val="10"/>
        <rFont val="ＭＳ 明朝"/>
        <family val="1"/>
        <charset val="128"/>
      </rPr>
      <t>2</t>
    </r>
    <r>
      <rPr>
        <sz val="10"/>
        <rFont val="ＭＳ 明朝"/>
        <family val="1"/>
        <charset val="128"/>
      </rPr>
      <t>×1/2×s×c</t>
    </r>
    <phoneticPr fontId="9"/>
  </si>
  <si>
    <r>
      <t>水平分力（Σ</t>
    </r>
    <r>
      <rPr>
        <vertAlign val="subscript"/>
        <sz val="10"/>
        <rFont val="ＭＳ 明朝"/>
        <family val="1"/>
        <charset val="128"/>
      </rPr>
      <t>Ｈ</t>
    </r>
    <r>
      <rPr>
        <sz val="10"/>
        <rFont val="ＭＳ 明朝"/>
        <family val="1"/>
        <charset val="128"/>
      </rPr>
      <t>）</t>
    </r>
    <phoneticPr fontId="11"/>
  </si>
  <si>
    <r>
      <t>転倒モーメント　（Ｍ</t>
    </r>
    <r>
      <rPr>
        <vertAlign val="subscript"/>
        <sz val="10"/>
        <rFont val="ＭＳ 明朝"/>
        <family val="1"/>
        <charset val="128"/>
      </rPr>
      <t>Ｈ</t>
    </r>
    <r>
      <rPr>
        <sz val="10"/>
        <rFont val="ＭＳ 明朝"/>
        <family val="1"/>
        <charset val="128"/>
      </rPr>
      <t>）</t>
    </r>
    <phoneticPr fontId="11"/>
  </si>
  <si>
    <t>５　堤底厚及び断面積</t>
  </si>
  <si>
    <r>
      <t>地盤反力（Ｐ</t>
    </r>
    <r>
      <rPr>
        <vertAlign val="subscript"/>
        <sz val="10"/>
        <rFont val="ＭＳ 明朝"/>
        <family val="1"/>
        <charset val="128"/>
      </rPr>
      <t>１</t>
    </r>
    <r>
      <rPr>
        <sz val="10"/>
        <rFont val="ＭＳ 明朝"/>
        <family val="1"/>
        <charset val="128"/>
      </rPr>
      <t>）＝ （σ</t>
    </r>
    <r>
      <rPr>
        <vertAlign val="subscript"/>
        <sz val="10"/>
        <rFont val="ＭＳ 明朝"/>
        <family val="1"/>
        <charset val="128"/>
      </rPr>
      <t>１</t>
    </r>
    <r>
      <rPr>
        <sz val="10"/>
        <rFont val="ＭＳ 明朝"/>
        <family val="1"/>
        <charset val="128"/>
      </rPr>
      <t xml:space="preserve">） ＝ </t>
    </r>
    <phoneticPr fontId="9"/>
  </si>
  <si>
    <r>
      <t>　　　　（Ｐ</t>
    </r>
    <r>
      <rPr>
        <vertAlign val="subscript"/>
        <sz val="10"/>
        <rFont val="ＭＳ 明朝"/>
        <family val="1"/>
        <charset val="128"/>
      </rPr>
      <t>２</t>
    </r>
    <r>
      <rPr>
        <sz val="10"/>
        <rFont val="ＭＳ 明朝"/>
        <family val="1"/>
        <charset val="128"/>
      </rPr>
      <t>）＝ （σ</t>
    </r>
    <r>
      <rPr>
        <vertAlign val="subscript"/>
        <sz val="10"/>
        <rFont val="ＭＳ 明朝"/>
        <family val="1"/>
        <charset val="128"/>
      </rPr>
      <t>２</t>
    </r>
    <r>
      <rPr>
        <sz val="10"/>
        <rFont val="ＭＳ 明朝"/>
        <family val="1"/>
        <charset val="128"/>
      </rPr>
      <t xml:space="preserve">） ＝ </t>
    </r>
    <phoneticPr fontId="9"/>
  </si>
  <si>
    <t>堤体の単位体積重量</t>
    <rPh sb="0" eb="2">
      <t>テイタイ</t>
    </rPh>
    <rPh sb="3" eb="5">
      <t>タンイ</t>
    </rPh>
    <rPh sb="5" eb="7">
      <t>タイセキ</t>
    </rPh>
    <rPh sb="7" eb="9">
      <t>ジュウリョウ</t>
    </rPh>
    <phoneticPr fontId="2"/>
  </si>
  <si>
    <t>計算結果から</t>
    <rPh sb="0" eb="2">
      <t>ケイサン</t>
    </rPh>
    <rPh sb="2" eb="4">
      <t>ケッカ</t>
    </rPh>
    <phoneticPr fontId="2"/>
  </si>
  <si>
    <t>1/2×b</t>
    <phoneticPr fontId="2"/>
  </si>
  <si>
    <t>1/2×b</t>
    <phoneticPr fontId="9"/>
  </si>
  <si>
    <t>Ｅm</t>
    <phoneticPr fontId="9"/>
  </si>
  <si>
    <t>滑動に対する安全率</t>
    <rPh sb="0" eb="2">
      <t>カツドウ</t>
    </rPh>
    <rPh sb="3" eb="4">
      <t>タイ</t>
    </rPh>
    <rPh sb="6" eb="8">
      <t>アンゼン</t>
    </rPh>
    <rPh sb="8" eb="9">
      <t>リツ</t>
    </rPh>
    <phoneticPr fontId="2"/>
  </si>
  <si>
    <t>中詰材のせん断抵抗に対する安全率</t>
    <rPh sb="0" eb="1">
      <t>ナカ</t>
    </rPh>
    <rPh sb="1" eb="2">
      <t>ヅメ</t>
    </rPh>
    <rPh sb="2" eb="3">
      <t>ザイ</t>
    </rPh>
    <rPh sb="6" eb="7">
      <t>ダン</t>
    </rPh>
    <rPh sb="7" eb="9">
      <t>テイコウ</t>
    </rPh>
    <rPh sb="10" eb="11">
      <t>タイ</t>
    </rPh>
    <rPh sb="13" eb="15">
      <t>アンゼン</t>
    </rPh>
    <rPh sb="15" eb="16">
      <t>リツ</t>
    </rPh>
    <phoneticPr fontId="2"/>
  </si>
  <si>
    <t>土の単位体積重量</t>
    <rPh sb="0" eb="1">
      <t>ツチ</t>
    </rPh>
    <rPh sb="2" eb="4">
      <t>タンイ</t>
    </rPh>
    <rPh sb="4" eb="6">
      <t>タイセキ</t>
    </rPh>
    <rPh sb="6" eb="8">
      <t>ジュウリョウ</t>
    </rPh>
    <phoneticPr fontId="2"/>
  </si>
  <si>
    <t>1/3×h</t>
    <phoneticPr fontId="9"/>
  </si>
  <si>
    <t>ｍ</t>
    <phoneticPr fontId="2"/>
  </si>
  <si>
    <r>
      <t>（σ</t>
    </r>
    <r>
      <rPr>
        <vertAlign val="subscript"/>
        <sz val="10"/>
        <rFont val="ＭＳ 明朝"/>
        <family val="1"/>
        <charset val="128"/>
      </rPr>
      <t>１</t>
    </r>
    <r>
      <rPr>
        <sz val="10"/>
        <rFont val="ＭＳ 明朝"/>
        <family val="1"/>
        <charset val="128"/>
      </rPr>
      <t>）</t>
    </r>
    <phoneticPr fontId="9"/>
  </si>
  <si>
    <r>
      <t>（σ</t>
    </r>
    <r>
      <rPr>
        <vertAlign val="subscript"/>
        <sz val="10"/>
        <rFont val="ＭＳ 明朝"/>
        <family val="1"/>
        <charset val="128"/>
      </rPr>
      <t>２</t>
    </r>
    <r>
      <rPr>
        <sz val="10"/>
        <rFont val="ＭＳ 明朝"/>
        <family val="1"/>
        <charset val="128"/>
      </rPr>
      <t>）</t>
    </r>
    <phoneticPr fontId="9"/>
  </si>
  <si>
    <t>８　滑動に対する検討</t>
    <rPh sb="5" eb="6">
      <t>タイ</t>
    </rPh>
    <rPh sb="8" eb="10">
      <t>ケントウ</t>
    </rPh>
    <phoneticPr fontId="2"/>
  </si>
  <si>
    <t>７　内部応力及び地盤反力に対する検討</t>
    <rPh sb="13" eb="14">
      <t>タイ</t>
    </rPh>
    <rPh sb="16" eb="18">
      <t>ケントウ</t>
    </rPh>
    <phoneticPr fontId="2"/>
  </si>
  <si>
    <t>６　転倒に対する検討（合力の作用位置及び偏心距離）</t>
    <rPh sb="2" eb="4">
      <t>テントウ</t>
    </rPh>
    <rPh sb="5" eb="6">
      <t>タイ</t>
    </rPh>
    <rPh sb="8" eb="10">
      <t>ケントウ</t>
    </rPh>
    <phoneticPr fontId="2"/>
  </si>
  <si>
    <t>９　中詰材の外力によるせん断変形に対する検討</t>
    <rPh sb="2" eb="3">
      <t>ナカ</t>
    </rPh>
    <rPh sb="3" eb="4">
      <t>ヅメ</t>
    </rPh>
    <rPh sb="4" eb="5">
      <t>ザイ</t>
    </rPh>
    <rPh sb="6" eb="8">
      <t>ガイリョク</t>
    </rPh>
    <rPh sb="13" eb="14">
      <t>ダン</t>
    </rPh>
    <rPh sb="14" eb="16">
      <t>ヘンケイ</t>
    </rPh>
    <rPh sb="17" eb="18">
      <t>タイ</t>
    </rPh>
    <rPh sb="20" eb="22">
      <t>ケントウ</t>
    </rPh>
    <phoneticPr fontId="2"/>
  </si>
  <si>
    <t>基礎地盤（底面）における変形モーメント</t>
    <rPh sb="0" eb="2">
      <t>キソ</t>
    </rPh>
    <rPh sb="2" eb="4">
      <t>ジバン</t>
    </rPh>
    <rPh sb="5" eb="7">
      <t>テイメン</t>
    </rPh>
    <rPh sb="12" eb="14">
      <t>ヘンケイ</t>
    </rPh>
    <phoneticPr fontId="2"/>
  </si>
  <si>
    <t>基礎地盤（底面）における抵抗モーメント</t>
    <rPh sb="0" eb="2">
      <t>キソ</t>
    </rPh>
    <rPh sb="2" eb="4">
      <t>ジバン</t>
    </rPh>
    <rPh sb="5" eb="7">
      <t>テイメン</t>
    </rPh>
    <rPh sb="12" eb="14">
      <t>テイコウ</t>
    </rPh>
    <phoneticPr fontId="2"/>
  </si>
  <si>
    <t>Ｒ0=Ｖ0^2×(3-Ｖ0×cosφ)×sinφ</t>
    <phoneticPr fontId="2"/>
  </si>
  <si>
    <t>諸条件</t>
    <rPh sb="0" eb="3">
      <t>ショジョウケン</t>
    </rPh>
    <phoneticPr fontId="2"/>
  </si>
  <si>
    <t>箇所名</t>
    <rPh sb="0" eb="2">
      <t>カショ</t>
    </rPh>
    <rPh sb="2" eb="3">
      <t>メイ</t>
    </rPh>
    <phoneticPr fontId="2"/>
  </si>
  <si>
    <t>h'×γ'×1/s×h×s×c</t>
    <phoneticPr fontId="9"/>
  </si>
  <si>
    <t>青字は条件を入力</t>
    <rPh sb="0" eb="1">
      <t>アオ</t>
    </rPh>
    <rPh sb="1" eb="2">
      <t>ジ</t>
    </rPh>
    <rPh sb="3" eb="5">
      <t>ジョウケン</t>
    </rPh>
    <rPh sb="6" eb="8">
      <t>ニュウリョク</t>
    </rPh>
    <phoneticPr fontId="2"/>
  </si>
  <si>
    <t>この欄は数字入力</t>
    <rPh sb="2" eb="3">
      <t>ラン</t>
    </rPh>
    <rPh sb="4" eb="6">
      <t>スウジ</t>
    </rPh>
    <rPh sb="6" eb="8">
      <t>ニュウリョク</t>
    </rPh>
    <phoneticPr fontId="2"/>
  </si>
  <si>
    <t>←</t>
    <phoneticPr fontId="2"/>
  </si>
  <si>
    <t>赤字は箇所・構造を入力</t>
    <rPh sb="0" eb="2">
      <t>アカジ</t>
    </rPh>
    <rPh sb="3" eb="5">
      <t>カショ</t>
    </rPh>
    <rPh sb="6" eb="8">
      <t>コウゾウ</t>
    </rPh>
    <rPh sb="9" eb="11">
      <t>ニュウリョク</t>
    </rPh>
    <phoneticPr fontId="2"/>
  </si>
  <si>
    <t>計算不要</t>
    <rPh sb="0" eb="2">
      <t>ケイサン</t>
    </rPh>
    <rPh sb="2" eb="4">
      <t>フヨウ</t>
    </rPh>
    <phoneticPr fontId="2"/>
  </si>
  <si>
    <t>タイプ</t>
    <phoneticPr fontId="2"/>
  </si>
  <si>
    <t>n</t>
    <phoneticPr fontId="2"/>
  </si>
  <si>
    <t>m</t>
    <phoneticPr fontId="2"/>
  </si>
  <si>
    <t>h</t>
    <phoneticPr fontId="2"/>
  </si>
  <si>
    <t>b</t>
    <phoneticPr fontId="2"/>
  </si>
  <si>
    <t>h'</t>
    <phoneticPr fontId="2"/>
  </si>
  <si>
    <t>Φw</t>
    <phoneticPr fontId="2"/>
  </si>
  <si>
    <t>Φs</t>
    <phoneticPr fontId="2"/>
  </si>
  <si>
    <t>γ'</t>
    <phoneticPr fontId="2"/>
  </si>
  <si>
    <t>s</t>
    <phoneticPr fontId="2"/>
  </si>
  <si>
    <t>γw</t>
    <phoneticPr fontId="2"/>
  </si>
  <si>
    <t>ｆ</t>
    <phoneticPr fontId="2"/>
  </si>
  <si>
    <t>Ｃ</t>
    <phoneticPr fontId="2"/>
  </si>
  <si>
    <t>φ</t>
    <phoneticPr fontId="2"/>
  </si>
  <si>
    <t>Ｓ</t>
    <phoneticPr fontId="2"/>
  </si>
  <si>
    <t>Ｆ</t>
    <phoneticPr fontId="2"/>
  </si>
  <si>
    <t>Ｑa</t>
    <phoneticPr fontId="2"/>
  </si>
  <si>
    <t>ω</t>
    <phoneticPr fontId="2"/>
  </si>
  <si>
    <t>°</t>
    <phoneticPr fontId="2"/>
  </si>
  <si>
    <t>→</t>
    <phoneticPr fontId="2"/>
  </si>
  <si>
    <t xml:space="preserve"> 木  材  →</t>
    <rPh sb="1" eb="2">
      <t>キ</t>
    </rPh>
    <rPh sb="4" eb="5">
      <t>ザイ</t>
    </rPh>
    <phoneticPr fontId="2"/>
  </si>
  <si>
    <t xml:space="preserve"> 中  詰  →</t>
    <rPh sb="1" eb="2">
      <t>ナカ</t>
    </rPh>
    <rPh sb="4" eb="5">
      <t>ヅメ</t>
    </rPh>
    <phoneticPr fontId="2"/>
  </si>
  <si>
    <t>太鼓材角度</t>
    <rPh sb="0" eb="2">
      <t>タイコ</t>
    </rPh>
    <rPh sb="2" eb="3">
      <t>ザイ</t>
    </rPh>
    <rPh sb="3" eb="5">
      <t>カクド</t>
    </rPh>
    <phoneticPr fontId="2"/>
  </si>
  <si>
    <t xml:space="preserve"> θ=</t>
    <phoneticPr fontId="2"/>
  </si>
  <si>
    <t xml:space="preserve"> Ａ=</t>
    <phoneticPr fontId="2"/>
  </si>
  <si>
    <t xml:space="preserve"> Ａ={(360-4×θ)/360}×3.14×(木材半径)^2×(木材半径)×sin2θ</t>
    <rPh sb="25" eb="27">
      <t>モクザイ</t>
    </rPh>
    <rPh sb="27" eb="29">
      <t>ハンケイ</t>
    </rPh>
    <rPh sb="34" eb="36">
      <t>モクザイ</t>
    </rPh>
    <rPh sb="36" eb="38">
      <t>ハンケイ</t>
    </rPh>
    <phoneticPr fontId="2"/>
  </si>
  <si>
    <t>本）</t>
    <rPh sb="0" eb="1">
      <t>ホン</t>
    </rPh>
    <phoneticPr fontId="2"/>
  </si>
  <si>
    <t>ｍで計算：　区間内横木本数</t>
    <rPh sb="2" eb="4">
      <t>ケイサン</t>
    </rPh>
    <rPh sb="6" eb="8">
      <t>クカン</t>
    </rPh>
    <rPh sb="8" eb="9">
      <t>ナイ</t>
    </rPh>
    <rPh sb="9" eb="11">
      <t>ヨコギ</t>
    </rPh>
    <rPh sb="11" eb="13">
      <t>ホンスウ</t>
    </rPh>
    <phoneticPr fontId="2"/>
  </si>
  <si>
    <t>ｍ3</t>
    <phoneticPr fontId="2"/>
  </si>
  <si>
    <t>ｍ2</t>
    <phoneticPr fontId="2"/>
  </si>
  <si>
    <t>木材体積(Ｖw)</t>
    <rPh sb="0" eb="2">
      <t>モクザイ</t>
    </rPh>
    <rPh sb="2" eb="4">
      <t>タイセキ</t>
    </rPh>
    <phoneticPr fontId="2"/>
  </si>
  <si>
    <t>中詰材体積(Ｖr)</t>
    <rPh sb="0" eb="1">
      <t>ナカ</t>
    </rPh>
    <rPh sb="1" eb="2">
      <t>ヅメ</t>
    </rPh>
    <rPh sb="2" eb="3">
      <t>ザイ</t>
    </rPh>
    <rPh sb="3" eb="5">
      <t>タイセキ</t>
    </rPh>
    <phoneticPr fontId="2"/>
  </si>
  <si>
    <t>ｍ3</t>
    <phoneticPr fontId="2"/>
  </si>
  <si>
    <t>（換算堤体長</t>
    <rPh sb="1" eb="3">
      <t>カンザン</t>
    </rPh>
    <rPh sb="3" eb="5">
      <t>テイタイ</t>
    </rPh>
    <rPh sb="5" eb="6">
      <t>ナガ</t>
    </rPh>
    <phoneticPr fontId="2"/>
  </si>
  <si>
    <t>　普通土:1,礫質土:2,岩砕:3を入力</t>
    <rPh sb="1" eb="3">
      <t>フツウ</t>
    </rPh>
    <rPh sb="3" eb="4">
      <t>ツチ</t>
    </rPh>
    <rPh sb="7" eb="10">
      <t>レキシツド</t>
    </rPh>
    <rPh sb="13" eb="14">
      <t>ガン</t>
    </rPh>
    <rPh sb="14" eb="15">
      <t>クダ</t>
    </rPh>
    <rPh sb="18" eb="20">
      <t>ニュウリョク</t>
    </rPh>
    <phoneticPr fontId="2"/>
  </si>
  <si>
    <t>中詰材の内部摩擦角　（°）</t>
    <rPh sb="0" eb="1">
      <t>ナカ</t>
    </rPh>
    <rPh sb="1" eb="2">
      <t>ヅメ</t>
    </rPh>
    <rPh sb="2" eb="3">
      <t>ザイ</t>
    </rPh>
    <rPh sb="4" eb="6">
      <t>ナイブ</t>
    </rPh>
    <rPh sb="6" eb="8">
      <t>マサツ</t>
    </rPh>
    <rPh sb="8" eb="9">
      <t>カク</t>
    </rPh>
    <phoneticPr fontId="2"/>
  </si>
  <si>
    <t>本体段数</t>
    <rPh sb="0" eb="2">
      <t>ホンタイ</t>
    </rPh>
    <rPh sb="2" eb="4">
      <t>ダンスウ</t>
    </rPh>
    <phoneticPr fontId="2"/>
  </si>
  <si>
    <t>　　　　天端タイプ</t>
    <rPh sb="4" eb="6">
      <t>テンバ</t>
    </rPh>
    <phoneticPr fontId="2"/>
  </si>
  <si>
    <t>ｍ表示で、天端材を含めた高さを入力</t>
    <rPh sb="1" eb="3">
      <t>ヒョウジ</t>
    </rPh>
    <rPh sb="5" eb="7">
      <t>テンバ</t>
    </rPh>
    <rPh sb="7" eb="8">
      <t>ザイ</t>
    </rPh>
    <rPh sb="9" eb="10">
      <t>フク</t>
    </rPh>
    <rPh sb="12" eb="13">
      <t>タカ</t>
    </rPh>
    <rPh sb="15" eb="17">
      <t>ニュウリョク</t>
    </rPh>
    <phoneticPr fontId="2"/>
  </si>
  <si>
    <t>　本体木材体積</t>
    <rPh sb="1" eb="3">
      <t>ホンタイ</t>
    </rPh>
    <rPh sb="3" eb="5">
      <t>モクザイ</t>
    </rPh>
    <rPh sb="5" eb="7">
      <t>タイセキ</t>
    </rPh>
    <phoneticPr fontId="2"/>
  </si>
  <si>
    <t>　天端材体積</t>
    <rPh sb="1" eb="3">
      <t>テンバ</t>
    </rPh>
    <rPh sb="3" eb="4">
      <t>ザイ</t>
    </rPh>
    <rPh sb="4" eb="6">
      <t>タイセキ</t>
    </rPh>
    <phoneticPr fontId="2"/>
  </si>
  <si>
    <t>標準型：１、枕木付きﾕﾆｯﾄ：２、横木+３面挽き材：３</t>
    <rPh sb="0" eb="2">
      <t>ヒョウジュン</t>
    </rPh>
    <rPh sb="2" eb="3">
      <t>ガタ</t>
    </rPh>
    <rPh sb="6" eb="7">
      <t>マクラ</t>
    </rPh>
    <rPh sb="7" eb="8">
      <t>キ</t>
    </rPh>
    <rPh sb="8" eb="9">
      <t>ツ</t>
    </rPh>
    <rPh sb="17" eb="19">
      <t>ヨコキ</t>
    </rPh>
    <rPh sb="21" eb="22">
      <t>メン</t>
    </rPh>
    <rPh sb="22" eb="23">
      <t>ビ</t>
    </rPh>
    <rPh sb="24" eb="25">
      <t>ザイ</t>
    </rPh>
    <phoneticPr fontId="2"/>
  </si>
  <si>
    <t>　計</t>
    <rPh sb="1" eb="2">
      <t>ケイ</t>
    </rPh>
    <phoneticPr fontId="2"/>
  </si>
  <si>
    <t>ｍ3</t>
    <phoneticPr fontId="2"/>
  </si>
  <si>
    <t>台形型</t>
    <rPh sb="0" eb="2">
      <t>ダイケイ</t>
    </rPh>
    <rPh sb="2" eb="3">
      <t>カタ</t>
    </rPh>
    <phoneticPr fontId="2"/>
  </si>
  <si>
    <t>↓</t>
    <phoneticPr fontId="2"/>
  </si>
  <si>
    <t>→</t>
    <phoneticPr fontId="2"/>
  </si>
  <si>
    <t>KN/m3表示</t>
    <rPh sb="5" eb="7">
      <t>ヒョウジ</t>
    </rPh>
    <phoneticPr fontId="2"/>
  </si>
  <si>
    <t>KN/m2表示</t>
    <rPh sb="5" eb="7">
      <t>ヒョウジ</t>
    </rPh>
    <phoneticPr fontId="2"/>
  </si>
  <si>
    <t>KN</t>
    <phoneticPr fontId="9"/>
  </si>
  <si>
    <t>KN・m</t>
    <phoneticPr fontId="9"/>
  </si>
  <si>
    <t>KN/㎡</t>
    <phoneticPr fontId="2"/>
  </si>
  <si>
    <t>Ｅh</t>
    <phoneticPr fontId="9"/>
  </si>
  <si>
    <t>１号</t>
    <rPh sb="1" eb="2">
      <t>ゴウ</t>
    </rPh>
    <phoneticPr fontId="2"/>
  </si>
  <si>
    <t>○○市</t>
    <rPh sb="2" eb="3">
      <t>シ</t>
    </rPh>
    <phoneticPr fontId="2"/>
  </si>
  <si>
    <t>○○地内</t>
    <rPh sb="2" eb="4">
      <t>チナイ</t>
    </rPh>
    <phoneticPr fontId="2"/>
  </si>
  <si>
    <t>ダムの号数</t>
    <rPh sb="3" eb="5">
      <t>ゴウスウ</t>
    </rPh>
    <phoneticPr fontId="2"/>
  </si>
  <si>
    <t>京都府農林水産部森林保全課</t>
    <rPh sb="0" eb="3">
      <t>キョウトフ</t>
    </rPh>
    <rPh sb="3" eb="5">
      <t>ノウリン</t>
    </rPh>
    <rPh sb="5" eb="7">
      <t>スイサン</t>
    </rPh>
    <rPh sb="7" eb="8">
      <t>ブ</t>
    </rPh>
    <rPh sb="8" eb="10">
      <t>シンリン</t>
    </rPh>
    <rPh sb="10" eb="12">
      <t>ホゼン</t>
    </rPh>
    <rPh sb="12" eb="13">
      <t>カ</t>
    </rPh>
    <phoneticPr fontId="2"/>
  </si>
  <si>
    <t>2)本プログラムを使用される場合は、使用者の責任においてご使用ください。</t>
    <rPh sb="2" eb="3">
      <t>ホン</t>
    </rPh>
    <rPh sb="9" eb="11">
      <t>シヨウ</t>
    </rPh>
    <rPh sb="14" eb="16">
      <t>バアイ</t>
    </rPh>
    <rPh sb="18" eb="21">
      <t>シヨウシャ</t>
    </rPh>
    <rPh sb="22" eb="24">
      <t>セキニン</t>
    </rPh>
    <rPh sb="29" eb="31">
      <t>シヨウ</t>
    </rPh>
    <phoneticPr fontId="2"/>
  </si>
  <si>
    <t>3)本プログラムの著作権は京都府にありますが、使いやすいように改良していただいて結構です。独自に改良等加えられた場合は、今後のバージョンアップの参考にしたいので、下記までメールください。また、バグを発見された場合もご一報いただければ幸いです。
　ただし、エクセル及びWindowsに関する知識が必要です。内容をよく理解された上で、行ってください。</t>
    <rPh sb="2" eb="3">
      <t>ホン</t>
    </rPh>
    <rPh sb="9" eb="10">
      <t>チョ</t>
    </rPh>
    <rPh sb="10" eb="11">
      <t>サクセン</t>
    </rPh>
    <rPh sb="11" eb="12">
      <t>ケン</t>
    </rPh>
    <rPh sb="13" eb="16">
      <t>キョウトフ</t>
    </rPh>
    <rPh sb="23" eb="24">
      <t>ツカ</t>
    </rPh>
    <rPh sb="31" eb="33">
      <t>カイリョウ</t>
    </rPh>
    <rPh sb="40" eb="42">
      <t>ケッコウ</t>
    </rPh>
    <rPh sb="131" eb="132">
      <t>オヨ</t>
    </rPh>
    <rPh sb="141" eb="142">
      <t>カン</t>
    </rPh>
    <rPh sb="144" eb="146">
      <t>チシキ</t>
    </rPh>
    <rPh sb="147" eb="149">
      <t>ヒツヨウ</t>
    </rPh>
    <rPh sb="152" eb="154">
      <t>ナイヨウ</t>
    </rPh>
    <rPh sb="157" eb="159">
      <t>リカイ</t>
    </rPh>
    <rPh sb="162" eb="163">
      <t>ウエ</t>
    </rPh>
    <rPh sb="165" eb="166">
      <t>オコナ</t>
    </rPh>
    <phoneticPr fontId="2"/>
  </si>
  <si>
    <t>4)京都府は、プログラム上のいかなるバグや操作上のミス、あるいはプログラムそのものによる使用者の金銭的損失及びその他の損失について、3)の改良の有無に関わらず免責とさせていただきます。</t>
    <rPh sb="2" eb="5">
      <t>キョウトフ</t>
    </rPh>
    <rPh sb="12" eb="13">
      <t>ウエ</t>
    </rPh>
    <rPh sb="21" eb="23">
      <t>ソウサ</t>
    </rPh>
    <rPh sb="23" eb="24">
      <t>ウエ</t>
    </rPh>
    <rPh sb="44" eb="46">
      <t>シヨウ</t>
    </rPh>
    <rPh sb="46" eb="47">
      <t>シャ</t>
    </rPh>
    <rPh sb="48" eb="50">
      <t>キンセン</t>
    </rPh>
    <rPh sb="50" eb="51">
      <t>テキ</t>
    </rPh>
    <rPh sb="51" eb="53">
      <t>ソンシツ</t>
    </rPh>
    <rPh sb="53" eb="54">
      <t>オヨ</t>
    </rPh>
    <rPh sb="57" eb="58">
      <t>ホカ</t>
    </rPh>
    <rPh sb="59" eb="61">
      <t>ソンシツ</t>
    </rPh>
    <rPh sb="69" eb="71">
      <t>カイリョウ</t>
    </rPh>
    <rPh sb="72" eb="74">
      <t>ウム</t>
    </rPh>
    <rPh sb="75" eb="76">
      <t>カカ</t>
    </rPh>
    <rPh sb="79" eb="81">
      <t>メンセキ</t>
    </rPh>
    <phoneticPr fontId="2"/>
  </si>
  <si>
    <t>※Microsoft、Windows、Excelは、米国Microsoft　Corporationの米国及びその他の国における登録商標です。</t>
    <rPh sb="26" eb="28">
      <t>ベイコク</t>
    </rPh>
    <rPh sb="50" eb="52">
      <t>ベイコク</t>
    </rPh>
    <rPh sb="52" eb="53">
      <t>オヨ</t>
    </rPh>
    <rPh sb="56" eb="57">
      <t>ホカ</t>
    </rPh>
    <rPh sb="58" eb="59">
      <t>クニ</t>
    </rPh>
    <rPh sb="63" eb="65">
      <t>トウロク</t>
    </rPh>
    <rPh sb="65" eb="67">
      <t>ショウヒョウ</t>
    </rPh>
    <phoneticPr fontId="2"/>
  </si>
  <si>
    <t>shinrinhozen@mail.pref.kyoto.jp</t>
  </si>
  <si>
    <t>ver.1.0.1</t>
    <phoneticPr fontId="2"/>
  </si>
  <si>
    <t>1)本プログラムはMicrosoft　Excel2010で作成してあります。Excel2010に関する質問は一切受け付けませんのでご了承ください。</t>
    <rPh sb="2" eb="3">
      <t>ホン</t>
    </rPh>
    <rPh sb="29" eb="31">
      <t>サクセイ</t>
    </rPh>
    <rPh sb="48" eb="49">
      <t>カン</t>
    </rPh>
    <rPh sb="51" eb="53">
      <t>シツモン</t>
    </rPh>
    <rPh sb="54" eb="56">
      <t>イッサイ</t>
    </rPh>
    <rPh sb="56" eb="57">
      <t>ウ</t>
    </rPh>
    <rPh sb="58" eb="59">
      <t>ツ</t>
    </rPh>
    <rPh sb="66" eb="68">
      <t>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</si>
</sst>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_);[Red]\(0.00\)"/>
    <numFmt numFmtId="177" formatCode="0.000_);[Red]\(0.000\)"/>
    <numFmt numFmtId="178" formatCode="#,##0.000_);[Red]\(#,##0.000\)"/>
    <numFmt numFmtId="179" formatCode="0.000"/>
    <numFmt numFmtId="180" formatCode="0_ "/>
    <numFmt numFmtId="181" formatCode="0.00_ "/>
    <numFmt numFmtId="182" formatCode="0.000_ "/>
    <numFmt numFmtId="183" formatCode="0.0"/>
  </numFmts>
  <fonts count="27">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45"/>
      <name val="ＭＳ Ｐゴシック"/>
      <family val="3"/>
      <charset val="128"/>
    </font>
    <font>
      <sz val="11"/>
      <color indexed="48"/>
      <name val="ＭＳ Ｐゴシック"/>
      <family val="3"/>
      <charset val="128"/>
    </font>
    <font>
      <sz val="11"/>
      <color indexed="12"/>
      <name val="ＭＳ Ｐゴシック"/>
      <family val="3"/>
      <charset val="128"/>
    </font>
    <font>
      <sz val="20"/>
      <name val="ＭＳ Ｐゴシック"/>
      <family val="3"/>
      <charset val="128"/>
    </font>
    <font>
      <sz val="10"/>
      <name val="ＭＳ 明朝"/>
      <family val="1"/>
      <charset val="128"/>
    </font>
    <font>
      <sz val="6"/>
      <name val="ＭＳ Ｐ明朝"/>
      <family val="1"/>
      <charset val="128"/>
    </font>
    <font>
      <vertAlign val="subscript"/>
      <sz val="10"/>
      <name val="ＭＳ 明朝"/>
      <family val="1"/>
      <charset val="128"/>
    </font>
    <font>
      <sz val="11"/>
      <name val="ＭＳ 明朝"/>
      <family val="1"/>
      <charset val="128"/>
    </font>
    <font>
      <vertAlign val="superscript"/>
      <sz val="10"/>
      <name val="ＭＳ 明朝"/>
      <family val="1"/>
      <charset val="128"/>
    </font>
    <font>
      <sz val="12"/>
      <name val="ＭＳ ゴシック"/>
      <family val="3"/>
      <charset val="128"/>
    </font>
    <font>
      <sz val="11"/>
      <color indexed="10"/>
      <name val="ＭＳ 明朝"/>
      <family val="1"/>
      <charset val="128"/>
    </font>
    <font>
      <sz val="20"/>
      <name val="ＭＳ 明朝"/>
      <family val="1"/>
      <charset val="128"/>
    </font>
    <font>
      <u/>
      <sz val="11"/>
      <name val="ＭＳ 明朝"/>
      <family val="1"/>
      <charset val="128"/>
    </font>
    <font>
      <sz val="14"/>
      <name val="ＭＳ 明朝"/>
      <family val="1"/>
      <charset val="128"/>
    </font>
    <font>
      <sz val="11"/>
      <color indexed="48"/>
      <name val="ＭＳ 明朝"/>
      <family val="1"/>
      <charset val="128"/>
    </font>
    <font>
      <sz val="11"/>
      <color indexed="12"/>
      <name val="ＭＳ 明朝"/>
      <family val="1"/>
      <charset val="128"/>
    </font>
    <font>
      <b/>
      <sz val="20"/>
      <name val="ＭＳ 明朝"/>
      <family val="1"/>
      <charset val="128"/>
    </font>
    <font>
      <sz val="11"/>
      <color indexed="61"/>
      <name val="ＭＳ Ｐゴシック"/>
      <family val="3"/>
      <charset val="128"/>
    </font>
    <font>
      <sz val="8"/>
      <name val="ＭＳ Ｐゴシック"/>
      <family val="3"/>
      <charset val="128"/>
    </font>
    <font>
      <sz val="10"/>
      <color indexed="61"/>
      <name val="ＭＳ Ｐゴシック"/>
      <family val="3"/>
      <charset val="128"/>
    </font>
    <font>
      <sz val="11"/>
      <color rgb="FFFF0000"/>
      <name val="ＭＳ Ｐゴシック"/>
      <family val="3"/>
      <charset val="128"/>
    </font>
    <font>
      <sz val="9"/>
      <name val="ＭＳ Ｐゴシック"/>
      <family val="3"/>
      <charset val="128"/>
    </font>
    <font>
      <sz val="10"/>
      <name val="ＭＳ Ｐゴシック"/>
      <family val="3"/>
      <charset val="128"/>
    </font>
  </fonts>
  <fills count="2">
    <fill>
      <patternFill patternType="none"/>
    </fill>
    <fill>
      <patternFill patternType="gray125"/>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double">
        <color indexed="64"/>
      </top>
      <bottom/>
      <diagonal/>
    </border>
    <border>
      <left/>
      <right/>
      <top/>
      <bottom style="double">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s>
  <cellStyleXfs count="2">
    <xf numFmtId="0" fontId="0" fillId="0" borderId="0"/>
    <xf numFmtId="38" fontId="1" fillId="0" borderId="0" applyFont="0" applyFill="0" applyBorder="0" applyAlignment="0" applyProtection="0"/>
  </cellStyleXfs>
  <cellXfs count="233">
    <xf numFmtId="0" fontId="0" fillId="0" borderId="0" xfId="0"/>
    <xf numFmtId="0" fontId="0" fillId="0" borderId="0" xfId="0" applyAlignment="1">
      <alignment horizontal="center"/>
    </xf>
    <xf numFmtId="0" fontId="4" fillId="0" borderId="0" xfId="0" applyFont="1" applyFill="1"/>
    <xf numFmtId="0" fontId="0" fillId="0" borderId="1" xfId="0" applyBorder="1"/>
    <xf numFmtId="0" fontId="0" fillId="0" borderId="1" xfId="0" applyBorder="1" applyAlignment="1">
      <alignment horizontal="left" indent="1"/>
    </xf>
    <xf numFmtId="0" fontId="0" fillId="0" borderId="1" xfId="0" applyBorder="1" applyAlignment="1"/>
    <xf numFmtId="0" fontId="0" fillId="0" borderId="1" xfId="0" applyBorder="1" applyAlignment="1">
      <alignment horizontal="left" indent="5"/>
    </xf>
    <xf numFmtId="0" fontId="5" fillId="0" borderId="0" xfId="0" applyFont="1"/>
    <xf numFmtId="0" fontId="7" fillId="0" borderId="0" xfId="0" applyFont="1" applyAlignment="1">
      <alignment horizontal="center"/>
    </xf>
    <xf numFmtId="0" fontId="0" fillId="0" borderId="1" xfId="0" applyBorder="1" applyAlignment="1">
      <alignment horizontal="left" indent="2"/>
    </xf>
    <xf numFmtId="0" fontId="0" fillId="0" borderId="1" xfId="0" applyBorder="1" applyAlignment="1">
      <alignment horizontal="left" indent="3"/>
    </xf>
    <xf numFmtId="0" fontId="8" fillId="0" borderId="0" xfId="0" applyFont="1"/>
    <xf numFmtId="0" fontId="8" fillId="0" borderId="2" xfId="0" applyFont="1" applyBorder="1" applyAlignment="1">
      <alignment horizontal="center" vertical="center" wrapText="1"/>
    </xf>
    <xf numFmtId="0" fontId="8" fillId="0" borderId="3" xfId="0" quotePrefix="1"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179" fontId="8" fillId="0" borderId="10" xfId="0" quotePrefix="1" applyNumberFormat="1" applyFont="1" applyBorder="1" applyAlignment="1">
      <alignment horizontal="center" vertical="center"/>
    </xf>
    <xf numFmtId="179" fontId="8" fillId="0" borderId="11" xfId="0" quotePrefix="1" applyNumberFormat="1" applyFont="1" applyBorder="1" applyAlignment="1">
      <alignment horizontal="center" vertical="center"/>
    </xf>
    <xf numFmtId="0" fontId="8" fillId="0" borderId="0" xfId="0" applyFont="1" applyBorder="1" applyAlignment="1">
      <alignment horizontal="left"/>
    </xf>
    <xf numFmtId="179" fontId="8" fillId="0" borderId="10" xfId="0" quotePrefix="1" applyNumberFormat="1" applyFont="1" applyBorder="1" applyAlignment="1"/>
    <xf numFmtId="179" fontId="8" fillId="0" borderId="12" xfId="0" quotePrefix="1" applyNumberFormat="1" applyFont="1" applyBorder="1" applyAlignment="1">
      <alignment horizontal="left" vertical="center"/>
    </xf>
    <xf numFmtId="0" fontId="13" fillId="0" borderId="0" xfId="0" applyFont="1" applyAlignment="1">
      <alignment horizontal="left" vertical="center"/>
    </xf>
    <xf numFmtId="0" fontId="11" fillId="0" borderId="0" xfId="0" applyFont="1"/>
    <xf numFmtId="0" fontId="8" fillId="0" borderId="0" xfId="0" quotePrefix="1" applyFont="1" applyBorder="1" applyAlignment="1">
      <alignment horizontal="left"/>
    </xf>
    <xf numFmtId="0" fontId="11" fillId="0" borderId="0" xfId="0" applyFont="1" applyAlignment="1">
      <alignment vertical="center"/>
    </xf>
    <xf numFmtId="0" fontId="7" fillId="0" borderId="0" xfId="0" applyFont="1" applyAlignment="1">
      <alignment horizontal="distributed" justifyLastLine="1"/>
    </xf>
    <xf numFmtId="0" fontId="8" fillId="0" borderId="0" xfId="0" applyFont="1" applyBorder="1" applyAlignment="1">
      <alignment horizontal="center"/>
    </xf>
    <xf numFmtId="0" fontId="8" fillId="0" borderId="0" xfId="0" applyFont="1" applyAlignment="1">
      <alignment horizontal="right"/>
    </xf>
    <xf numFmtId="181" fontId="8" fillId="0" borderId="0" xfId="0" applyNumberFormat="1" applyFont="1"/>
    <xf numFmtId="182" fontId="8" fillId="0" borderId="0" xfId="0" applyNumberFormat="1" applyFont="1" applyAlignment="1">
      <alignment horizontal="right"/>
    </xf>
    <xf numFmtId="0" fontId="8" fillId="0" borderId="0" xfId="0" applyFont="1" applyAlignment="1">
      <alignment horizontal="left" indent="1"/>
    </xf>
    <xf numFmtId="0" fontId="8" fillId="0" borderId="0" xfId="0" applyFont="1" applyAlignment="1">
      <alignment horizontal="left" indent="2"/>
    </xf>
    <xf numFmtId="0" fontId="3" fillId="0" borderId="0" xfId="0" applyFont="1"/>
    <xf numFmtId="0" fontId="6" fillId="0" borderId="0" xfId="0" applyFont="1"/>
    <xf numFmtId="0" fontId="3" fillId="0" borderId="1" xfId="0" applyFont="1" applyBorder="1" applyAlignment="1">
      <alignment horizontal="center"/>
    </xf>
    <xf numFmtId="0" fontId="3" fillId="0" borderId="13" xfId="0" applyFont="1" applyBorder="1" applyAlignment="1">
      <alignment horizontal="center"/>
    </xf>
    <xf numFmtId="0" fontId="5" fillId="0" borderId="0" xfId="0" applyFont="1" applyFill="1"/>
    <xf numFmtId="0" fontId="0" fillId="0" borderId="0" xfId="0" applyFill="1"/>
    <xf numFmtId="0" fontId="16" fillId="0" borderId="0" xfId="0" applyFont="1" applyAlignment="1">
      <alignment horizontal="center"/>
    </xf>
    <xf numFmtId="0" fontId="16" fillId="0" borderId="0" xfId="0" applyFont="1"/>
    <xf numFmtId="0" fontId="11" fillId="0" borderId="0" xfId="0" applyFont="1" applyAlignment="1">
      <alignment horizontal="center"/>
    </xf>
    <xf numFmtId="0" fontId="11" fillId="0" borderId="1" xfId="0" applyFont="1" applyBorder="1" applyAlignment="1">
      <alignment horizontal="center"/>
    </xf>
    <xf numFmtId="176" fontId="11" fillId="0" borderId="1" xfId="0" applyNumberFormat="1" applyFont="1" applyFill="1" applyBorder="1" applyAlignment="1">
      <alignment horizontal="right"/>
    </xf>
    <xf numFmtId="0" fontId="11" fillId="0" borderId="14" xfId="0" applyFont="1" applyBorder="1" applyAlignment="1">
      <alignment horizontal="center"/>
    </xf>
    <xf numFmtId="176" fontId="11" fillId="0" borderId="14" xfId="0" applyNumberFormat="1" applyFont="1" applyFill="1" applyBorder="1" applyAlignment="1">
      <alignment horizontal="right"/>
    </xf>
    <xf numFmtId="0" fontId="11" fillId="0" borderId="15" xfId="0" applyFont="1" applyBorder="1" applyAlignment="1">
      <alignment horizontal="center"/>
    </xf>
    <xf numFmtId="180" fontId="11" fillId="0" borderId="15" xfId="0" applyNumberFormat="1" applyFont="1" applyBorder="1" applyAlignment="1">
      <alignment horizontal="right"/>
    </xf>
    <xf numFmtId="0" fontId="11" fillId="0" borderId="16" xfId="0" applyFont="1" applyBorder="1" applyAlignment="1">
      <alignment horizontal="center"/>
    </xf>
    <xf numFmtId="180" fontId="11" fillId="0" borderId="16" xfId="0" applyNumberFormat="1" applyFont="1" applyBorder="1" applyAlignment="1">
      <alignment horizontal="right"/>
    </xf>
    <xf numFmtId="181" fontId="11" fillId="0" borderId="1" xfId="0" applyNumberFormat="1" applyFont="1" applyBorder="1" applyAlignment="1">
      <alignment horizontal="right"/>
    </xf>
    <xf numFmtId="0" fontId="11" fillId="0" borderId="1" xfId="0" applyFont="1" applyBorder="1" applyAlignment="1">
      <alignment horizontal="right"/>
    </xf>
    <xf numFmtId="180" fontId="11" fillId="0" borderId="1" xfId="0" applyNumberFormat="1" applyFont="1" applyBorder="1" applyAlignment="1">
      <alignment horizontal="right"/>
    </xf>
    <xf numFmtId="0" fontId="11" fillId="0" borderId="17" xfId="0" applyFont="1" applyBorder="1"/>
    <xf numFmtId="0" fontId="17" fillId="0" borderId="0" xfId="0" applyFont="1" applyAlignment="1">
      <alignment horizontal="right"/>
    </xf>
    <xf numFmtId="0" fontId="17" fillId="0" borderId="0" xfId="0" applyFont="1"/>
    <xf numFmtId="0" fontId="18" fillId="0" borderId="0" xfId="0" applyFont="1"/>
    <xf numFmtId="0" fontId="11" fillId="0" borderId="14" xfId="0" applyFont="1" applyBorder="1"/>
    <xf numFmtId="0" fontId="14" fillId="0" borderId="18" xfId="0" applyFont="1" applyBorder="1"/>
    <xf numFmtId="0" fontId="11" fillId="0" borderId="18" xfId="0" applyFont="1" applyBorder="1"/>
    <xf numFmtId="0" fontId="11" fillId="0" borderId="19" xfId="0" applyFont="1" applyBorder="1"/>
    <xf numFmtId="0" fontId="11" fillId="0" borderId="20" xfId="0" applyFont="1" applyBorder="1"/>
    <xf numFmtId="0" fontId="11" fillId="0" borderId="21" xfId="0" applyFont="1" applyBorder="1"/>
    <xf numFmtId="0" fontId="11" fillId="0" borderId="22" xfId="0" applyFont="1" applyBorder="1"/>
    <xf numFmtId="0" fontId="11" fillId="0" borderId="0" xfId="0" applyFont="1" applyBorder="1"/>
    <xf numFmtId="0" fontId="11" fillId="0" borderId="23" xfId="0" applyFont="1" applyBorder="1"/>
    <xf numFmtId="0" fontId="11" fillId="0" borderId="24" xfId="0" applyFont="1" applyBorder="1"/>
    <xf numFmtId="0" fontId="11" fillId="0" borderId="25" xfId="0" applyFont="1" applyBorder="1"/>
    <xf numFmtId="0" fontId="11" fillId="0" borderId="26" xfId="0" applyFont="1" applyBorder="1"/>
    <xf numFmtId="0" fontId="19" fillId="0" borderId="27" xfId="0" applyFont="1" applyBorder="1"/>
    <xf numFmtId="0" fontId="11" fillId="0" borderId="27" xfId="0" applyFont="1" applyBorder="1"/>
    <xf numFmtId="0" fontId="11" fillId="0" borderId="28" xfId="0" applyFont="1" applyBorder="1"/>
    <xf numFmtId="0" fontId="11" fillId="0" borderId="27" xfId="0" applyFont="1" applyBorder="1" applyAlignment="1">
      <alignment horizontal="center"/>
    </xf>
    <xf numFmtId="0" fontId="14" fillId="0" borderId="0" xfId="0" applyFont="1" applyBorder="1"/>
    <xf numFmtId="0" fontId="20" fillId="0" borderId="0" xfId="0" applyFont="1" applyAlignment="1">
      <alignment horizontal="distributed" justifyLastLine="1"/>
    </xf>
    <xf numFmtId="0" fontId="11" fillId="0" borderId="1" xfId="0" applyFont="1" applyBorder="1"/>
    <xf numFmtId="0" fontId="11" fillId="0" borderId="29" xfId="0" applyFont="1" applyBorder="1"/>
    <xf numFmtId="0" fontId="19" fillId="0" borderId="0" xfId="0" applyFont="1" applyBorder="1"/>
    <xf numFmtId="0" fontId="11" fillId="0" borderId="0" xfId="0" applyFont="1" applyBorder="1" applyAlignment="1">
      <alignment horizontal="center"/>
    </xf>
    <xf numFmtId="0" fontId="11" fillId="0" borderId="0" xfId="0" applyFont="1" applyBorder="1" applyAlignment="1">
      <alignment horizontal="left"/>
    </xf>
    <xf numFmtId="0" fontId="11" fillId="0" borderId="30" xfId="0" applyFont="1" applyBorder="1" applyAlignment="1">
      <alignment horizontal="left" indent="1"/>
    </xf>
    <xf numFmtId="0" fontId="11" fillId="0" borderId="31" xfId="0" applyFont="1" applyBorder="1"/>
    <xf numFmtId="0" fontId="11" fillId="0" borderId="30" xfId="0" applyFont="1" applyBorder="1" applyAlignment="1">
      <alignment horizontal="left" indent="2"/>
    </xf>
    <xf numFmtId="0" fontId="11" fillId="0" borderId="13" xfId="0" applyFont="1" applyBorder="1"/>
    <xf numFmtId="0" fontId="14" fillId="0" borderId="32" xfId="0" applyFont="1" applyBorder="1" applyAlignment="1">
      <alignment horizontal="left"/>
    </xf>
    <xf numFmtId="181" fontId="11" fillId="0" borderId="0" xfId="0" applyNumberFormat="1" applyFont="1" applyBorder="1" applyAlignment="1">
      <alignment horizontal="right"/>
    </xf>
    <xf numFmtId="0" fontId="0" fillId="0" borderId="0" xfId="0" applyAlignment="1">
      <alignment horizontal="distributed"/>
    </xf>
    <xf numFmtId="177" fontId="11" fillId="0" borderId="1" xfId="0" applyNumberFormat="1" applyFont="1" applyFill="1" applyBorder="1" applyAlignment="1">
      <alignment horizontal="right"/>
    </xf>
    <xf numFmtId="0" fontId="11" fillId="0" borderId="33" xfId="0" applyFont="1" applyBorder="1"/>
    <xf numFmtId="0" fontId="11" fillId="0" borderId="34" xfId="0" applyFont="1" applyBorder="1"/>
    <xf numFmtId="0" fontId="11" fillId="0" borderId="35" xfId="0" applyFont="1" applyBorder="1"/>
    <xf numFmtId="0" fontId="11" fillId="0" borderId="36" xfId="0" applyFont="1" applyBorder="1"/>
    <xf numFmtId="180" fontId="19" fillId="0" borderId="27" xfId="0" applyNumberFormat="1" applyFont="1" applyBorder="1"/>
    <xf numFmtId="182" fontId="11" fillId="0" borderId="34" xfId="0" applyNumberFormat="1" applyFont="1" applyBorder="1"/>
    <xf numFmtId="0" fontId="11" fillId="0" borderId="23" xfId="0" applyFont="1" applyBorder="1" applyAlignment="1">
      <alignment horizontal="left"/>
    </xf>
    <xf numFmtId="0" fontId="11" fillId="0" borderId="7" xfId="0" applyFont="1" applyBorder="1"/>
    <xf numFmtId="181" fontId="11" fillId="0" borderId="35" xfId="0" applyNumberFormat="1" applyFont="1" applyBorder="1"/>
    <xf numFmtId="181" fontId="11" fillId="0" borderId="0" xfId="0" applyNumberFormat="1" applyFont="1" applyBorder="1"/>
    <xf numFmtId="0" fontId="11" fillId="0" borderId="37" xfId="0" applyFont="1" applyBorder="1"/>
    <xf numFmtId="182" fontId="11" fillId="0" borderId="38" xfId="0" applyNumberFormat="1" applyFont="1" applyBorder="1"/>
    <xf numFmtId="0" fontId="11" fillId="0" borderId="39" xfId="0" applyFont="1" applyBorder="1"/>
    <xf numFmtId="181" fontId="11" fillId="0" borderId="39" xfId="0" applyNumberFormat="1" applyFont="1" applyBorder="1"/>
    <xf numFmtId="0" fontId="11" fillId="0" borderId="40" xfId="0" applyFont="1" applyBorder="1"/>
    <xf numFmtId="183" fontId="0" fillId="0" borderId="0" xfId="0" applyNumberFormat="1"/>
    <xf numFmtId="2" fontId="0" fillId="0" borderId="0" xfId="0" applyNumberFormat="1"/>
    <xf numFmtId="2" fontId="1" fillId="0" borderId="0" xfId="0" applyNumberFormat="1" applyFont="1"/>
    <xf numFmtId="0" fontId="8" fillId="0" borderId="0" xfId="0" applyFont="1" applyAlignment="1">
      <alignment horizontal="center"/>
    </xf>
    <xf numFmtId="58" fontId="0" fillId="0" borderId="0" xfId="0" applyNumberFormat="1"/>
    <xf numFmtId="0" fontId="26" fillId="0" borderId="0" xfId="0" applyFont="1" applyAlignment="1">
      <alignment horizontal="left" vertical="center" wrapText="1"/>
    </xf>
    <xf numFmtId="0" fontId="26" fillId="0" borderId="0" xfId="0" applyFont="1" applyAlignment="1">
      <alignment horizontal="left" vertical="center"/>
    </xf>
    <xf numFmtId="38" fontId="26" fillId="0" borderId="0" xfId="1" applyFont="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left" vertical="center" shrinkToFit="1"/>
    </xf>
    <xf numFmtId="38" fontId="22" fillId="0" borderId="0" xfId="1" applyFont="1" applyAlignment="1">
      <alignment horizontal="left" vertical="center" wrapText="1"/>
    </xf>
    <xf numFmtId="0" fontId="3" fillId="0" borderId="13" xfId="0" applyFont="1" applyBorder="1" applyAlignment="1">
      <alignment horizontal="left"/>
    </xf>
    <xf numFmtId="0" fontId="3" fillId="0" borderId="17" xfId="0" applyFont="1" applyBorder="1" applyAlignment="1">
      <alignment horizontal="left"/>
    </xf>
    <xf numFmtId="0" fontId="3" fillId="0" borderId="32" xfId="0" applyFont="1" applyBorder="1" applyAlignment="1">
      <alignment horizontal="left"/>
    </xf>
    <xf numFmtId="0" fontId="3" fillId="0" borderId="13" xfId="0" applyFont="1" applyBorder="1" applyAlignment="1">
      <alignment horizontal="center"/>
    </xf>
    <xf numFmtId="0" fontId="3" fillId="0" borderId="17" xfId="0" applyFont="1" applyBorder="1" applyAlignment="1">
      <alignment horizontal="center"/>
    </xf>
    <xf numFmtId="0" fontId="3" fillId="0" borderId="32" xfId="0" applyFont="1" applyBorder="1" applyAlignment="1">
      <alignment horizontal="center"/>
    </xf>
    <xf numFmtId="0" fontId="0" fillId="0" borderId="0" xfId="0" applyAlignment="1">
      <alignment horizontal="center"/>
    </xf>
    <xf numFmtId="0" fontId="0" fillId="0" borderId="13" xfId="0" applyBorder="1" applyAlignment="1">
      <alignment horizontal="center"/>
    </xf>
    <xf numFmtId="0" fontId="0" fillId="0" borderId="17" xfId="0" applyBorder="1" applyAlignment="1">
      <alignment horizontal="center"/>
    </xf>
    <xf numFmtId="0" fontId="0" fillId="0" borderId="32" xfId="0" applyBorder="1" applyAlignment="1">
      <alignment horizontal="center"/>
    </xf>
    <xf numFmtId="0" fontId="22" fillId="0" borderId="13" xfId="0" applyFont="1" applyBorder="1" applyAlignment="1">
      <alignment horizontal="center"/>
    </xf>
    <xf numFmtId="0" fontId="22" fillId="0" borderId="32" xfId="0" applyFont="1" applyBorder="1" applyAlignment="1">
      <alignment horizontal="center"/>
    </xf>
    <xf numFmtId="180" fontId="0" fillId="0" borderId="13" xfId="0" applyNumberFormat="1" applyFont="1" applyBorder="1" applyAlignment="1">
      <alignment horizontal="right"/>
    </xf>
    <xf numFmtId="180" fontId="0" fillId="0" borderId="32" xfId="0" applyNumberFormat="1" applyFont="1" applyBorder="1" applyAlignment="1">
      <alignment horizontal="right"/>
    </xf>
    <xf numFmtId="176" fontId="3" fillId="0" borderId="13" xfId="0" applyNumberFormat="1" applyFont="1" applyFill="1" applyBorder="1" applyAlignment="1">
      <alignment horizontal="right"/>
    </xf>
    <xf numFmtId="176" fontId="3" fillId="0" borderId="32" xfId="0" applyNumberFormat="1" applyFont="1" applyFill="1" applyBorder="1" applyAlignment="1">
      <alignment horizontal="right"/>
    </xf>
    <xf numFmtId="181" fontId="6" fillId="0" borderId="13" xfId="0" applyNumberFormat="1" applyFont="1" applyBorder="1" applyAlignment="1">
      <alignment horizontal="right"/>
    </xf>
    <xf numFmtId="181" fontId="6" fillId="0" borderId="32" xfId="0" applyNumberFormat="1" applyFont="1" applyBorder="1" applyAlignment="1">
      <alignment horizontal="right"/>
    </xf>
    <xf numFmtId="180" fontId="6" fillId="0" borderId="13" xfId="0" applyNumberFormat="1" applyFont="1" applyBorder="1" applyAlignment="1">
      <alignment horizontal="right"/>
    </xf>
    <xf numFmtId="180" fontId="6" fillId="0" borderId="32" xfId="0" applyNumberFormat="1" applyFont="1" applyBorder="1" applyAlignment="1">
      <alignment horizontal="right"/>
    </xf>
    <xf numFmtId="0" fontId="6" fillId="0" borderId="13" xfId="0" applyFont="1" applyBorder="1" applyAlignment="1">
      <alignment horizontal="right"/>
    </xf>
    <xf numFmtId="0" fontId="6" fillId="0" borderId="32" xfId="0" applyFont="1" applyBorder="1" applyAlignment="1">
      <alignment horizontal="right"/>
    </xf>
    <xf numFmtId="0" fontId="7" fillId="0" borderId="0" xfId="0" applyFont="1" applyAlignment="1">
      <alignment horizontal="distributed" justifyLastLine="1"/>
    </xf>
    <xf numFmtId="0" fontId="0" fillId="0" borderId="0" xfId="0" applyAlignment="1">
      <alignment horizontal="distributed" justifyLastLine="1"/>
    </xf>
    <xf numFmtId="0" fontId="0" fillId="0" borderId="13" xfId="0" applyBorder="1" applyAlignment="1">
      <alignment horizontal="distributed" justifyLastLine="1"/>
    </xf>
    <xf numFmtId="0" fontId="0" fillId="0" borderId="32" xfId="0" applyBorder="1" applyAlignment="1">
      <alignment horizontal="distributed" justifyLastLine="1"/>
    </xf>
    <xf numFmtId="0" fontId="3" fillId="0" borderId="13" xfId="0" applyFont="1" applyBorder="1" applyAlignment="1">
      <alignment horizontal="right"/>
    </xf>
    <xf numFmtId="0" fontId="3" fillId="0" borderId="32" xfId="0" applyFont="1" applyBorder="1" applyAlignment="1">
      <alignment horizontal="right"/>
    </xf>
    <xf numFmtId="0" fontId="0" fillId="0" borderId="17" xfId="0" applyBorder="1" applyAlignment="1">
      <alignment horizontal="distributed" justifyLastLine="1"/>
    </xf>
    <xf numFmtId="180" fontId="21" fillId="0" borderId="13" xfId="0" applyNumberFormat="1" applyFont="1" applyBorder="1" applyAlignment="1">
      <alignment horizontal="right"/>
    </xf>
    <xf numFmtId="180" fontId="21" fillId="0" borderId="32" xfId="0" applyNumberFormat="1" applyFont="1" applyBorder="1" applyAlignment="1">
      <alignment horizontal="right"/>
    </xf>
    <xf numFmtId="0" fontId="6" fillId="0" borderId="13" xfId="0" applyFont="1" applyBorder="1" applyAlignment="1">
      <alignment horizontal="center"/>
    </xf>
    <xf numFmtId="0" fontId="6" fillId="0" borderId="17" xfId="0" applyFont="1" applyBorder="1" applyAlignment="1">
      <alignment horizontal="center"/>
    </xf>
    <xf numFmtId="0" fontId="6" fillId="0" borderId="32" xfId="0" applyFont="1" applyBorder="1" applyAlignment="1">
      <alignment horizontal="center"/>
    </xf>
    <xf numFmtId="181" fontId="6" fillId="0" borderId="13" xfId="0" applyNumberFormat="1" applyFont="1" applyBorder="1" applyAlignment="1">
      <alignment horizontal="center"/>
    </xf>
    <xf numFmtId="181" fontId="6" fillId="0" borderId="17" xfId="0" applyNumberFormat="1" applyFont="1" applyBorder="1" applyAlignment="1">
      <alignment horizontal="center"/>
    </xf>
    <xf numFmtId="181" fontId="6" fillId="0" borderId="32" xfId="0" applyNumberFormat="1" applyFont="1" applyBorder="1" applyAlignment="1">
      <alignment horizontal="center"/>
    </xf>
    <xf numFmtId="0" fontId="24" fillId="0" borderId="13" xfId="0" applyFont="1" applyBorder="1" applyAlignment="1" applyProtection="1">
      <alignment horizontal="right"/>
    </xf>
    <xf numFmtId="0" fontId="24" fillId="0" borderId="32" xfId="0" applyFont="1" applyBorder="1" applyAlignment="1" applyProtection="1">
      <alignment horizontal="right"/>
    </xf>
    <xf numFmtId="0" fontId="23" fillId="0" borderId="13" xfId="0" applyFont="1" applyBorder="1" applyAlignment="1" applyProtection="1">
      <alignment horizontal="right"/>
    </xf>
    <xf numFmtId="0" fontId="23" fillId="0" borderId="32" xfId="0" applyFont="1" applyBorder="1" applyAlignment="1" applyProtection="1">
      <alignment horizontal="right"/>
    </xf>
    <xf numFmtId="177" fontId="3" fillId="0" borderId="13" xfId="0" applyNumberFormat="1" applyFont="1" applyFill="1" applyBorder="1" applyAlignment="1">
      <alignment horizontal="right"/>
    </xf>
    <xf numFmtId="177" fontId="3" fillId="0" borderId="32" xfId="0" applyNumberFormat="1" applyFont="1" applyFill="1" applyBorder="1" applyAlignment="1">
      <alignment horizontal="right"/>
    </xf>
    <xf numFmtId="0" fontId="11" fillId="0" borderId="13" xfId="0" applyFont="1" applyBorder="1" applyAlignment="1">
      <alignment horizontal="center"/>
    </xf>
    <xf numFmtId="0" fontId="11" fillId="0" borderId="17" xfId="0" applyFont="1" applyBorder="1" applyAlignment="1">
      <alignment horizontal="center"/>
    </xf>
    <xf numFmtId="0" fontId="11" fillId="0" borderId="32" xfId="0" applyFont="1" applyBorder="1" applyAlignment="1">
      <alignment horizontal="center"/>
    </xf>
    <xf numFmtId="0" fontId="11" fillId="0" borderId="41" xfId="0" applyFont="1" applyBorder="1" applyAlignment="1">
      <alignment horizontal="center"/>
    </xf>
    <xf numFmtId="0" fontId="11" fillId="0" borderId="42" xfId="0" applyFont="1" applyBorder="1" applyAlignment="1">
      <alignment horizontal="center"/>
    </xf>
    <xf numFmtId="0" fontId="11" fillId="0" borderId="43" xfId="0" applyFont="1" applyBorder="1" applyAlignment="1">
      <alignment horizontal="center"/>
    </xf>
    <xf numFmtId="0" fontId="11" fillId="0" borderId="44" xfId="0" applyFont="1" applyBorder="1" applyAlignment="1">
      <alignment horizontal="center"/>
    </xf>
    <xf numFmtId="0" fontId="11" fillId="0" borderId="8" xfId="0" applyFont="1" applyBorder="1" applyAlignment="1">
      <alignment horizontal="center"/>
    </xf>
    <xf numFmtId="0" fontId="11" fillId="0" borderId="7" xfId="0" applyFont="1" applyBorder="1" applyAlignment="1">
      <alignment horizontal="center"/>
    </xf>
    <xf numFmtId="0" fontId="11" fillId="0" borderId="1" xfId="0" applyFont="1" applyBorder="1" applyAlignment="1">
      <alignment horizontal="left"/>
    </xf>
    <xf numFmtId="0" fontId="11" fillId="0" borderId="22" xfId="0" applyFont="1" applyBorder="1" applyAlignment="1">
      <alignment horizontal="left"/>
    </xf>
    <xf numFmtId="0" fontId="11" fillId="0" borderId="0" xfId="0" applyFont="1" applyBorder="1" applyAlignment="1">
      <alignment horizontal="left"/>
    </xf>
    <xf numFmtId="0" fontId="11" fillId="0" borderId="17" xfId="0" applyFont="1" applyBorder="1"/>
    <xf numFmtId="0" fontId="11" fillId="0" borderId="32" xfId="0" applyFont="1" applyBorder="1"/>
    <xf numFmtId="0" fontId="11" fillId="0" borderId="20" xfId="0" applyFont="1" applyBorder="1" applyAlignment="1">
      <alignment horizontal="left"/>
    </xf>
    <xf numFmtId="0" fontId="11" fillId="0" borderId="18" xfId="0" applyFont="1" applyBorder="1" applyAlignment="1">
      <alignment horizontal="left"/>
    </xf>
    <xf numFmtId="0" fontId="11" fillId="0" borderId="15" xfId="0" applyFont="1" applyBorder="1" applyAlignment="1">
      <alignment horizontal="left" indent="2"/>
    </xf>
    <xf numFmtId="0" fontId="11" fillId="0" borderId="14" xfId="0" applyFont="1" applyBorder="1" applyAlignment="1">
      <alignment horizontal="left" indent="1"/>
    </xf>
    <xf numFmtId="0" fontId="11" fillId="0" borderId="13" xfId="0" applyFont="1" applyBorder="1" applyAlignment="1">
      <alignment horizontal="distributed" justifyLastLine="1"/>
    </xf>
    <xf numFmtId="0" fontId="11" fillId="0" borderId="17" xfId="0" applyFont="1" applyBorder="1" applyAlignment="1">
      <alignment horizontal="distributed" justifyLastLine="1"/>
    </xf>
    <xf numFmtId="0" fontId="11" fillId="0" borderId="32" xfId="0" applyFont="1" applyBorder="1" applyAlignment="1">
      <alignment horizontal="distributed" justifyLastLine="1"/>
    </xf>
    <xf numFmtId="0" fontId="11" fillId="0" borderId="15" xfId="0" applyFont="1" applyBorder="1" applyAlignment="1">
      <alignment horizontal="left" indent="3"/>
    </xf>
    <xf numFmtId="0" fontId="11" fillId="0" borderId="16" xfId="0" applyFont="1" applyBorder="1" applyAlignment="1">
      <alignment horizontal="left" indent="3"/>
    </xf>
    <xf numFmtId="0" fontId="20" fillId="0" borderId="0" xfId="0" applyFont="1" applyAlignment="1">
      <alignment horizontal="distributed" justifyLastLine="1"/>
    </xf>
    <xf numFmtId="0" fontId="11" fillId="0" borderId="13" xfId="0" applyFont="1" applyBorder="1" applyAlignment="1">
      <alignment horizontal="left"/>
    </xf>
    <xf numFmtId="0" fontId="11" fillId="0" borderId="17" xfId="0" applyFont="1" applyBorder="1" applyAlignment="1">
      <alignment horizontal="left"/>
    </xf>
    <xf numFmtId="0" fontId="0" fillId="0" borderId="0" xfId="0" applyAlignment="1">
      <alignment horizontal="distributed"/>
    </xf>
    <xf numFmtId="0" fontId="11" fillId="0" borderId="20" xfId="0" applyFont="1" applyBorder="1" applyAlignment="1">
      <alignment horizontal="center"/>
    </xf>
    <xf numFmtId="0" fontId="11" fillId="0" borderId="18" xfId="0" applyFont="1" applyBorder="1" applyAlignment="1">
      <alignment horizontal="center"/>
    </xf>
    <xf numFmtId="0" fontId="11" fillId="0" borderId="19" xfId="0" applyFont="1" applyBorder="1" applyAlignment="1">
      <alignment horizontal="center"/>
    </xf>
    <xf numFmtId="0" fontId="8" fillId="0" borderId="60" xfId="0" quotePrefix="1" applyFont="1" applyBorder="1" applyAlignment="1">
      <alignment horizontal="center" shrinkToFit="1"/>
    </xf>
    <xf numFmtId="0" fontId="8" fillId="0" borderId="61" xfId="0" quotePrefix="1" applyFont="1" applyBorder="1" applyAlignment="1">
      <alignment horizontal="center" shrinkToFit="1"/>
    </xf>
    <xf numFmtId="177" fontId="8" fillId="0" borderId="14" xfId="0" applyNumberFormat="1" applyFont="1" applyBorder="1" applyAlignment="1">
      <alignment vertical="center"/>
    </xf>
    <xf numFmtId="177" fontId="11" fillId="0" borderId="16" xfId="0" applyNumberFormat="1" applyFont="1" applyBorder="1" applyAlignment="1">
      <alignment vertical="center"/>
    </xf>
    <xf numFmtId="0" fontId="15" fillId="0" borderId="0" xfId="0" applyFont="1" applyAlignment="1">
      <alignment horizontal="distributed" justifyLastLine="1"/>
    </xf>
    <xf numFmtId="0" fontId="8" fillId="0" borderId="45" xfId="0" quotePrefix="1" applyFont="1" applyBorder="1" applyAlignment="1">
      <alignment horizontal="center" shrinkToFit="1"/>
    </xf>
    <xf numFmtId="0" fontId="8" fillId="0" borderId="46" xfId="0" quotePrefix="1" applyFont="1" applyBorder="1" applyAlignment="1">
      <alignment horizontal="center" shrinkToFit="1"/>
    </xf>
    <xf numFmtId="0" fontId="8" fillId="0" borderId="47" xfId="0" quotePrefix="1" applyFont="1" applyBorder="1" applyAlignment="1">
      <alignment horizontal="center" shrinkToFit="1"/>
    </xf>
    <xf numFmtId="0" fontId="8" fillId="0" borderId="48" xfId="0" quotePrefix="1" applyFont="1" applyBorder="1" applyAlignment="1">
      <alignment horizontal="center" shrinkToFit="1"/>
    </xf>
    <xf numFmtId="0" fontId="8" fillId="0" borderId="47" xfId="0" applyFont="1" applyBorder="1" applyAlignment="1">
      <alignment horizontal="center" shrinkToFit="1"/>
    </xf>
    <xf numFmtId="0" fontId="8" fillId="0" borderId="48" xfId="0" applyFont="1" applyBorder="1" applyAlignment="1">
      <alignment horizontal="center" shrinkToFit="1"/>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44" xfId="0" applyFont="1" applyBorder="1" applyAlignment="1">
      <alignment horizontal="center" vertical="center"/>
    </xf>
    <xf numFmtId="0" fontId="8" fillId="0" borderId="7" xfId="0" applyFont="1" applyBorder="1" applyAlignment="1">
      <alignment horizontal="center" vertical="center"/>
    </xf>
    <xf numFmtId="0" fontId="8" fillId="0" borderId="51" xfId="0" quotePrefix="1" applyFont="1" applyBorder="1" applyAlignment="1">
      <alignment horizontal="center" vertical="center"/>
    </xf>
    <xf numFmtId="0" fontId="8" fillId="0" borderId="6" xfId="0" quotePrefix="1" applyFont="1" applyBorder="1" applyAlignment="1">
      <alignment horizontal="center" vertical="center"/>
    </xf>
    <xf numFmtId="178" fontId="8" fillId="0" borderId="52" xfId="0" applyNumberFormat="1" applyFont="1" applyBorder="1" applyAlignment="1">
      <alignment vertical="center" shrinkToFit="1"/>
    </xf>
    <xf numFmtId="178" fontId="11" fillId="0" borderId="9" xfId="0" applyNumberFormat="1" applyFont="1" applyBorder="1" applyAlignment="1">
      <alignment vertical="center" shrinkToFit="1"/>
    </xf>
    <xf numFmtId="177" fontId="8" fillId="0" borderId="14" xfId="0" applyNumberFormat="1" applyFont="1" applyBorder="1" applyAlignment="1">
      <alignment vertical="center" shrinkToFit="1"/>
    </xf>
    <xf numFmtId="177" fontId="11" fillId="0" borderId="16" xfId="0" applyNumberFormat="1" applyFont="1" applyBorder="1" applyAlignment="1">
      <alignment vertical="center" shrinkToFit="1"/>
    </xf>
    <xf numFmtId="177" fontId="8" fillId="0" borderId="16" xfId="0" applyNumberFormat="1" applyFont="1" applyBorder="1" applyAlignment="1">
      <alignment vertical="center"/>
    </xf>
    <xf numFmtId="0" fontId="8" fillId="0" borderId="60" xfId="0" applyFont="1" applyBorder="1" applyAlignment="1">
      <alignment horizontal="center" shrinkToFit="1"/>
    </xf>
    <xf numFmtId="0" fontId="8" fillId="0" borderId="61" xfId="0" applyFont="1" applyBorder="1" applyAlignment="1">
      <alignment horizontal="center" shrinkToFit="1"/>
    </xf>
    <xf numFmtId="0" fontId="8" fillId="0" borderId="71" xfId="0" quotePrefix="1" applyFont="1" applyBorder="1" applyAlignment="1">
      <alignment horizontal="center" shrinkToFit="1"/>
    </xf>
    <xf numFmtId="0" fontId="8" fillId="0" borderId="72" xfId="0" quotePrefix="1" applyFont="1" applyBorder="1" applyAlignment="1">
      <alignment horizontal="center" shrinkToFit="1"/>
    </xf>
    <xf numFmtId="178" fontId="8" fillId="0" borderId="53" xfId="0" applyNumberFormat="1" applyFont="1" applyBorder="1" applyAlignment="1">
      <alignment vertical="center" shrinkToFit="1"/>
    </xf>
    <xf numFmtId="178" fontId="11" fillId="0" borderId="54" xfId="0" applyNumberFormat="1" applyFont="1" applyBorder="1" applyAlignment="1">
      <alignment vertical="center" shrinkToFit="1"/>
    </xf>
    <xf numFmtId="0" fontId="8" fillId="0" borderId="55" xfId="0" quotePrefix="1" applyFont="1" applyBorder="1" applyAlignment="1">
      <alignment horizontal="center" vertical="center"/>
    </xf>
    <xf numFmtId="0" fontId="8" fillId="0" borderId="56" xfId="0" quotePrefix="1" applyFont="1" applyBorder="1" applyAlignment="1">
      <alignment horizontal="center" vertical="center"/>
    </xf>
    <xf numFmtId="0" fontId="8" fillId="0" borderId="57" xfId="0" quotePrefix="1" applyFont="1" applyBorder="1" applyAlignment="1">
      <alignment horizontal="center" vertical="center"/>
    </xf>
    <xf numFmtId="0" fontId="8" fillId="0" borderId="58" xfId="0" quotePrefix="1" applyFont="1" applyBorder="1" applyAlignment="1">
      <alignment horizontal="center" vertical="center"/>
    </xf>
    <xf numFmtId="178" fontId="11" fillId="0" borderId="59" xfId="0" applyNumberFormat="1" applyFont="1" applyBorder="1" applyAlignment="1">
      <alignment vertical="center" shrinkToFit="1"/>
    </xf>
    <xf numFmtId="0" fontId="8" fillId="0" borderId="67" xfId="0" quotePrefix="1" applyFont="1" applyBorder="1" applyAlignment="1">
      <alignment horizontal="center" vertical="center"/>
    </xf>
    <xf numFmtId="0" fontId="8" fillId="0" borderId="68" xfId="0" quotePrefix="1" applyFont="1" applyBorder="1" applyAlignment="1">
      <alignment horizontal="center" vertical="center"/>
    </xf>
    <xf numFmtId="178" fontId="8" fillId="0" borderId="70" xfId="0" applyNumberFormat="1" applyFont="1" applyBorder="1" applyAlignment="1">
      <alignment vertical="center" shrinkToFit="1"/>
    </xf>
    <xf numFmtId="0" fontId="8" fillId="0" borderId="62" xfId="0" applyFont="1" applyBorder="1" applyAlignment="1">
      <alignment horizontal="center" vertical="center"/>
    </xf>
    <xf numFmtId="0" fontId="8" fillId="0" borderId="63" xfId="0" applyFont="1" applyBorder="1" applyAlignment="1">
      <alignment horizontal="center" vertical="center"/>
    </xf>
    <xf numFmtId="177" fontId="8" fillId="0" borderId="64" xfId="0" applyNumberFormat="1" applyFont="1" applyBorder="1" applyAlignment="1">
      <alignment vertical="center" shrinkToFit="1"/>
    </xf>
    <xf numFmtId="177" fontId="11" fillId="0" borderId="65" xfId="0" applyNumberFormat="1" applyFont="1" applyBorder="1" applyAlignment="1">
      <alignment vertical="center" shrinkToFit="1"/>
    </xf>
    <xf numFmtId="0" fontId="8" fillId="0" borderId="66" xfId="0" quotePrefix="1" applyFont="1" applyBorder="1" applyAlignment="1">
      <alignment horizontal="center" vertical="center"/>
    </xf>
    <xf numFmtId="0" fontId="8" fillId="0" borderId="66" xfId="0" applyFont="1" applyBorder="1" applyAlignment="1">
      <alignment horizontal="center" vertical="center"/>
    </xf>
    <xf numFmtId="177" fontId="11" fillId="0" borderId="69" xfId="0" applyNumberFormat="1" applyFont="1" applyBorder="1" applyAlignment="1">
      <alignment vertical="center" shrinkToFit="1"/>
    </xf>
  </cellXfs>
  <cellStyles count="2">
    <cellStyle name="桁区切り 2"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9525</xdr:rowOff>
    </xdr:from>
    <xdr:to>
      <xdr:col>6</xdr:col>
      <xdr:colOff>666750</xdr:colOff>
      <xdr:row>19</xdr:row>
      <xdr:rowOff>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525"/>
          <a:ext cx="4667250" cy="32480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4</xdr:row>
      <xdr:rowOff>0</xdr:rowOff>
    </xdr:from>
    <xdr:to>
      <xdr:col>9</xdr:col>
      <xdr:colOff>0</xdr:colOff>
      <xdr:row>15</xdr:row>
      <xdr:rowOff>0</xdr:rowOff>
    </xdr:to>
    <xdr:sp macro="" textlink="">
      <xdr:nvSpPr>
        <xdr:cNvPr id="5973" name="Rectangle 2"/>
        <xdr:cNvSpPr>
          <a:spLocks noChangeArrowheads="1"/>
        </xdr:cNvSpPr>
      </xdr:nvSpPr>
      <xdr:spPr bwMode="auto">
        <a:xfrm>
          <a:off x="2295525" y="685800"/>
          <a:ext cx="1133475" cy="1885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1</xdr:row>
      <xdr:rowOff>9525</xdr:rowOff>
    </xdr:from>
    <xdr:to>
      <xdr:col>8</xdr:col>
      <xdr:colOff>371475</xdr:colOff>
      <xdr:row>3</xdr:row>
      <xdr:rowOff>161925</xdr:rowOff>
    </xdr:to>
    <xdr:sp macro="" textlink="">
      <xdr:nvSpPr>
        <xdr:cNvPr id="5974" name="Rectangle 4"/>
        <xdr:cNvSpPr>
          <a:spLocks noChangeArrowheads="1"/>
        </xdr:cNvSpPr>
      </xdr:nvSpPr>
      <xdr:spPr bwMode="auto">
        <a:xfrm>
          <a:off x="2286000" y="180975"/>
          <a:ext cx="1133475" cy="4953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9525</xdr:rowOff>
    </xdr:from>
    <xdr:to>
      <xdr:col>4</xdr:col>
      <xdr:colOff>352425</xdr:colOff>
      <xdr:row>15</xdr:row>
      <xdr:rowOff>9525</xdr:rowOff>
    </xdr:to>
    <xdr:sp macro="" textlink="">
      <xdr:nvSpPr>
        <xdr:cNvPr id="5975" name="Rectangle 5"/>
        <xdr:cNvSpPr>
          <a:spLocks noChangeArrowheads="1"/>
        </xdr:cNvSpPr>
      </xdr:nvSpPr>
      <xdr:spPr bwMode="auto">
        <a:xfrm>
          <a:off x="1143000" y="695325"/>
          <a:ext cx="733425" cy="1885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219075</xdr:colOff>
      <xdr:row>4</xdr:row>
      <xdr:rowOff>9525</xdr:rowOff>
    </xdr:from>
    <xdr:to>
      <xdr:col>3</xdr:col>
      <xdr:colOff>0</xdr:colOff>
      <xdr:row>15</xdr:row>
      <xdr:rowOff>9525</xdr:rowOff>
    </xdr:to>
    <xdr:sp macro="" textlink="">
      <xdr:nvSpPr>
        <xdr:cNvPr id="5976" name="AutoShape 7"/>
        <xdr:cNvSpPr>
          <a:spLocks noChangeArrowheads="1"/>
        </xdr:cNvSpPr>
      </xdr:nvSpPr>
      <xdr:spPr bwMode="auto">
        <a:xfrm flipH="1">
          <a:off x="600075" y="695325"/>
          <a:ext cx="542925" cy="1885950"/>
        </a:xfrm>
        <a:prstGeom prst="rtTriangle">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276225</xdr:colOff>
      <xdr:row>22</xdr:row>
      <xdr:rowOff>152400</xdr:rowOff>
    </xdr:from>
    <xdr:to>
      <xdr:col>17</xdr:col>
      <xdr:colOff>9525</xdr:colOff>
      <xdr:row>33</xdr:row>
      <xdr:rowOff>19050</xdr:rowOff>
    </xdr:to>
    <xdr:grpSp>
      <xdr:nvGrpSpPr>
        <xdr:cNvPr id="5977" name="Group 93"/>
        <xdr:cNvGrpSpPr>
          <a:grpSpLocks/>
        </xdr:cNvGrpSpPr>
      </xdr:nvGrpSpPr>
      <xdr:grpSpPr bwMode="auto">
        <a:xfrm>
          <a:off x="276225" y="3924300"/>
          <a:ext cx="6210300" cy="1752600"/>
          <a:chOff x="29" y="412"/>
          <a:chExt cx="652" cy="184"/>
        </a:xfrm>
      </xdr:grpSpPr>
      <xdr:grpSp>
        <xdr:nvGrpSpPr>
          <xdr:cNvPr id="5993" name="Group 20"/>
          <xdr:cNvGrpSpPr>
            <a:grpSpLocks/>
          </xdr:cNvGrpSpPr>
        </xdr:nvGrpSpPr>
        <xdr:grpSpPr bwMode="auto">
          <a:xfrm>
            <a:off x="40" y="485"/>
            <a:ext cx="458" cy="39"/>
            <a:chOff x="40" y="485"/>
            <a:chExt cx="458" cy="39"/>
          </a:xfrm>
        </xdr:grpSpPr>
        <xdr:sp macro="" textlink="">
          <xdr:nvSpPr>
            <xdr:cNvPr id="6065" name="Rectangle 8"/>
            <xdr:cNvSpPr>
              <a:spLocks noChangeArrowheads="1"/>
            </xdr:cNvSpPr>
          </xdr:nvSpPr>
          <xdr:spPr bwMode="auto">
            <a:xfrm>
              <a:off x="40" y="505"/>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66" name="Rectangle 9"/>
            <xdr:cNvSpPr>
              <a:spLocks noChangeArrowheads="1"/>
            </xdr:cNvSpPr>
          </xdr:nvSpPr>
          <xdr:spPr bwMode="auto">
            <a:xfrm>
              <a:off x="155" y="506"/>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67" name="Rectangle 10"/>
            <xdr:cNvSpPr>
              <a:spLocks noChangeArrowheads="1"/>
            </xdr:cNvSpPr>
          </xdr:nvSpPr>
          <xdr:spPr bwMode="auto">
            <a:xfrm>
              <a:off x="269" y="505"/>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68" name="Rectangle 11"/>
            <xdr:cNvSpPr>
              <a:spLocks noChangeArrowheads="1"/>
            </xdr:cNvSpPr>
          </xdr:nvSpPr>
          <xdr:spPr bwMode="auto">
            <a:xfrm>
              <a:off x="384" y="505"/>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69" name="Oval 12"/>
            <xdr:cNvSpPr>
              <a:spLocks noChangeArrowheads="1"/>
            </xdr:cNvSpPr>
          </xdr:nvSpPr>
          <xdr:spPr bwMode="auto">
            <a:xfrm>
              <a:off x="58" y="485"/>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70" name="Oval 13"/>
            <xdr:cNvSpPr>
              <a:spLocks noChangeArrowheads="1"/>
            </xdr:cNvSpPr>
          </xdr:nvSpPr>
          <xdr:spPr bwMode="auto">
            <a:xfrm>
              <a:off x="111" y="485"/>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71" name="Oval 14"/>
            <xdr:cNvSpPr>
              <a:spLocks noChangeArrowheads="1"/>
            </xdr:cNvSpPr>
          </xdr:nvSpPr>
          <xdr:spPr bwMode="auto">
            <a:xfrm>
              <a:off x="172" y="486"/>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72" name="Oval 15"/>
            <xdr:cNvSpPr>
              <a:spLocks noChangeArrowheads="1"/>
            </xdr:cNvSpPr>
          </xdr:nvSpPr>
          <xdr:spPr bwMode="auto">
            <a:xfrm>
              <a:off x="231" y="486"/>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73" name="Oval 16"/>
            <xdr:cNvSpPr>
              <a:spLocks noChangeArrowheads="1"/>
            </xdr:cNvSpPr>
          </xdr:nvSpPr>
          <xdr:spPr bwMode="auto">
            <a:xfrm>
              <a:off x="288" y="487"/>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74" name="Oval 17"/>
            <xdr:cNvSpPr>
              <a:spLocks noChangeArrowheads="1"/>
            </xdr:cNvSpPr>
          </xdr:nvSpPr>
          <xdr:spPr bwMode="auto">
            <a:xfrm>
              <a:off x="346" y="485"/>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75" name="Oval 18"/>
            <xdr:cNvSpPr>
              <a:spLocks noChangeArrowheads="1"/>
            </xdr:cNvSpPr>
          </xdr:nvSpPr>
          <xdr:spPr bwMode="auto">
            <a:xfrm>
              <a:off x="403" y="487"/>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76" name="Oval 19"/>
            <xdr:cNvSpPr>
              <a:spLocks noChangeArrowheads="1"/>
            </xdr:cNvSpPr>
          </xdr:nvSpPr>
          <xdr:spPr bwMode="auto">
            <a:xfrm>
              <a:off x="461" y="487"/>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5994" name="Group 21"/>
          <xdr:cNvGrpSpPr>
            <a:grpSpLocks/>
          </xdr:cNvGrpSpPr>
        </xdr:nvGrpSpPr>
        <xdr:grpSpPr bwMode="auto">
          <a:xfrm>
            <a:off x="29" y="449"/>
            <a:ext cx="458" cy="39"/>
            <a:chOff x="40" y="485"/>
            <a:chExt cx="458" cy="39"/>
          </a:xfrm>
        </xdr:grpSpPr>
        <xdr:sp macro="" textlink="">
          <xdr:nvSpPr>
            <xdr:cNvPr id="6053" name="Rectangle 22"/>
            <xdr:cNvSpPr>
              <a:spLocks noChangeArrowheads="1"/>
            </xdr:cNvSpPr>
          </xdr:nvSpPr>
          <xdr:spPr bwMode="auto">
            <a:xfrm>
              <a:off x="40" y="505"/>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54" name="Rectangle 23"/>
            <xdr:cNvSpPr>
              <a:spLocks noChangeArrowheads="1"/>
            </xdr:cNvSpPr>
          </xdr:nvSpPr>
          <xdr:spPr bwMode="auto">
            <a:xfrm>
              <a:off x="155" y="506"/>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55" name="Rectangle 24"/>
            <xdr:cNvSpPr>
              <a:spLocks noChangeArrowheads="1"/>
            </xdr:cNvSpPr>
          </xdr:nvSpPr>
          <xdr:spPr bwMode="auto">
            <a:xfrm>
              <a:off x="269" y="505"/>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56" name="Rectangle 25"/>
            <xdr:cNvSpPr>
              <a:spLocks noChangeArrowheads="1"/>
            </xdr:cNvSpPr>
          </xdr:nvSpPr>
          <xdr:spPr bwMode="auto">
            <a:xfrm>
              <a:off x="384" y="505"/>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57" name="Oval 26"/>
            <xdr:cNvSpPr>
              <a:spLocks noChangeArrowheads="1"/>
            </xdr:cNvSpPr>
          </xdr:nvSpPr>
          <xdr:spPr bwMode="auto">
            <a:xfrm>
              <a:off x="58" y="485"/>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58" name="Oval 27"/>
            <xdr:cNvSpPr>
              <a:spLocks noChangeArrowheads="1"/>
            </xdr:cNvSpPr>
          </xdr:nvSpPr>
          <xdr:spPr bwMode="auto">
            <a:xfrm>
              <a:off x="111" y="485"/>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59" name="Oval 28"/>
            <xdr:cNvSpPr>
              <a:spLocks noChangeArrowheads="1"/>
            </xdr:cNvSpPr>
          </xdr:nvSpPr>
          <xdr:spPr bwMode="auto">
            <a:xfrm>
              <a:off x="172" y="486"/>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60" name="Oval 29"/>
            <xdr:cNvSpPr>
              <a:spLocks noChangeArrowheads="1"/>
            </xdr:cNvSpPr>
          </xdr:nvSpPr>
          <xdr:spPr bwMode="auto">
            <a:xfrm>
              <a:off x="231" y="486"/>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61" name="Oval 30"/>
            <xdr:cNvSpPr>
              <a:spLocks noChangeArrowheads="1"/>
            </xdr:cNvSpPr>
          </xdr:nvSpPr>
          <xdr:spPr bwMode="auto">
            <a:xfrm>
              <a:off x="288" y="487"/>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62" name="Oval 31"/>
            <xdr:cNvSpPr>
              <a:spLocks noChangeArrowheads="1"/>
            </xdr:cNvSpPr>
          </xdr:nvSpPr>
          <xdr:spPr bwMode="auto">
            <a:xfrm>
              <a:off x="346" y="485"/>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63" name="Oval 32"/>
            <xdr:cNvSpPr>
              <a:spLocks noChangeArrowheads="1"/>
            </xdr:cNvSpPr>
          </xdr:nvSpPr>
          <xdr:spPr bwMode="auto">
            <a:xfrm>
              <a:off x="403" y="487"/>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64" name="Oval 33"/>
            <xdr:cNvSpPr>
              <a:spLocks noChangeArrowheads="1"/>
            </xdr:cNvSpPr>
          </xdr:nvSpPr>
          <xdr:spPr bwMode="auto">
            <a:xfrm>
              <a:off x="461" y="487"/>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5995" name="Group 34"/>
          <xdr:cNvGrpSpPr>
            <a:grpSpLocks/>
          </xdr:cNvGrpSpPr>
        </xdr:nvGrpSpPr>
        <xdr:grpSpPr bwMode="auto">
          <a:xfrm>
            <a:off x="40" y="412"/>
            <a:ext cx="458" cy="39"/>
            <a:chOff x="40" y="485"/>
            <a:chExt cx="458" cy="39"/>
          </a:xfrm>
        </xdr:grpSpPr>
        <xdr:sp macro="" textlink="">
          <xdr:nvSpPr>
            <xdr:cNvPr id="6041" name="Rectangle 35"/>
            <xdr:cNvSpPr>
              <a:spLocks noChangeArrowheads="1"/>
            </xdr:cNvSpPr>
          </xdr:nvSpPr>
          <xdr:spPr bwMode="auto">
            <a:xfrm>
              <a:off x="40" y="505"/>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42" name="Rectangle 36"/>
            <xdr:cNvSpPr>
              <a:spLocks noChangeArrowheads="1"/>
            </xdr:cNvSpPr>
          </xdr:nvSpPr>
          <xdr:spPr bwMode="auto">
            <a:xfrm>
              <a:off x="155" y="506"/>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43" name="Rectangle 37"/>
            <xdr:cNvSpPr>
              <a:spLocks noChangeArrowheads="1"/>
            </xdr:cNvSpPr>
          </xdr:nvSpPr>
          <xdr:spPr bwMode="auto">
            <a:xfrm>
              <a:off x="269" y="505"/>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44" name="Rectangle 38"/>
            <xdr:cNvSpPr>
              <a:spLocks noChangeArrowheads="1"/>
            </xdr:cNvSpPr>
          </xdr:nvSpPr>
          <xdr:spPr bwMode="auto">
            <a:xfrm>
              <a:off x="384" y="505"/>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45" name="Oval 39"/>
            <xdr:cNvSpPr>
              <a:spLocks noChangeArrowheads="1"/>
            </xdr:cNvSpPr>
          </xdr:nvSpPr>
          <xdr:spPr bwMode="auto">
            <a:xfrm>
              <a:off x="58" y="485"/>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46" name="Oval 40"/>
            <xdr:cNvSpPr>
              <a:spLocks noChangeArrowheads="1"/>
            </xdr:cNvSpPr>
          </xdr:nvSpPr>
          <xdr:spPr bwMode="auto">
            <a:xfrm>
              <a:off x="111" y="485"/>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47" name="Oval 41"/>
            <xdr:cNvSpPr>
              <a:spLocks noChangeArrowheads="1"/>
            </xdr:cNvSpPr>
          </xdr:nvSpPr>
          <xdr:spPr bwMode="auto">
            <a:xfrm>
              <a:off x="172" y="486"/>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48" name="Oval 42"/>
            <xdr:cNvSpPr>
              <a:spLocks noChangeArrowheads="1"/>
            </xdr:cNvSpPr>
          </xdr:nvSpPr>
          <xdr:spPr bwMode="auto">
            <a:xfrm>
              <a:off x="231" y="486"/>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49" name="Oval 43"/>
            <xdr:cNvSpPr>
              <a:spLocks noChangeArrowheads="1"/>
            </xdr:cNvSpPr>
          </xdr:nvSpPr>
          <xdr:spPr bwMode="auto">
            <a:xfrm>
              <a:off x="288" y="487"/>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50" name="Oval 44"/>
            <xdr:cNvSpPr>
              <a:spLocks noChangeArrowheads="1"/>
            </xdr:cNvSpPr>
          </xdr:nvSpPr>
          <xdr:spPr bwMode="auto">
            <a:xfrm>
              <a:off x="346" y="485"/>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51" name="Oval 45"/>
            <xdr:cNvSpPr>
              <a:spLocks noChangeArrowheads="1"/>
            </xdr:cNvSpPr>
          </xdr:nvSpPr>
          <xdr:spPr bwMode="auto">
            <a:xfrm>
              <a:off x="403" y="487"/>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52" name="Oval 46"/>
            <xdr:cNvSpPr>
              <a:spLocks noChangeArrowheads="1"/>
            </xdr:cNvSpPr>
          </xdr:nvSpPr>
          <xdr:spPr bwMode="auto">
            <a:xfrm>
              <a:off x="461" y="487"/>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5996" name="Group 47"/>
          <xdr:cNvGrpSpPr>
            <a:grpSpLocks/>
          </xdr:cNvGrpSpPr>
        </xdr:nvGrpSpPr>
        <xdr:grpSpPr bwMode="auto">
          <a:xfrm>
            <a:off x="29" y="520"/>
            <a:ext cx="458" cy="39"/>
            <a:chOff x="40" y="485"/>
            <a:chExt cx="458" cy="39"/>
          </a:xfrm>
        </xdr:grpSpPr>
        <xdr:sp macro="" textlink="">
          <xdr:nvSpPr>
            <xdr:cNvPr id="6029" name="Rectangle 48"/>
            <xdr:cNvSpPr>
              <a:spLocks noChangeArrowheads="1"/>
            </xdr:cNvSpPr>
          </xdr:nvSpPr>
          <xdr:spPr bwMode="auto">
            <a:xfrm>
              <a:off x="40" y="505"/>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30" name="Rectangle 49"/>
            <xdr:cNvSpPr>
              <a:spLocks noChangeArrowheads="1"/>
            </xdr:cNvSpPr>
          </xdr:nvSpPr>
          <xdr:spPr bwMode="auto">
            <a:xfrm>
              <a:off x="155" y="506"/>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31" name="Rectangle 50"/>
            <xdr:cNvSpPr>
              <a:spLocks noChangeArrowheads="1"/>
            </xdr:cNvSpPr>
          </xdr:nvSpPr>
          <xdr:spPr bwMode="auto">
            <a:xfrm>
              <a:off x="269" y="505"/>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32" name="Rectangle 51"/>
            <xdr:cNvSpPr>
              <a:spLocks noChangeArrowheads="1"/>
            </xdr:cNvSpPr>
          </xdr:nvSpPr>
          <xdr:spPr bwMode="auto">
            <a:xfrm>
              <a:off x="384" y="505"/>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33" name="Oval 52"/>
            <xdr:cNvSpPr>
              <a:spLocks noChangeArrowheads="1"/>
            </xdr:cNvSpPr>
          </xdr:nvSpPr>
          <xdr:spPr bwMode="auto">
            <a:xfrm>
              <a:off x="58" y="485"/>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34" name="Oval 53"/>
            <xdr:cNvSpPr>
              <a:spLocks noChangeArrowheads="1"/>
            </xdr:cNvSpPr>
          </xdr:nvSpPr>
          <xdr:spPr bwMode="auto">
            <a:xfrm>
              <a:off x="111" y="485"/>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35" name="Oval 54"/>
            <xdr:cNvSpPr>
              <a:spLocks noChangeArrowheads="1"/>
            </xdr:cNvSpPr>
          </xdr:nvSpPr>
          <xdr:spPr bwMode="auto">
            <a:xfrm>
              <a:off x="172" y="486"/>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36" name="Oval 55"/>
            <xdr:cNvSpPr>
              <a:spLocks noChangeArrowheads="1"/>
            </xdr:cNvSpPr>
          </xdr:nvSpPr>
          <xdr:spPr bwMode="auto">
            <a:xfrm>
              <a:off x="231" y="486"/>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37" name="Oval 56"/>
            <xdr:cNvSpPr>
              <a:spLocks noChangeArrowheads="1"/>
            </xdr:cNvSpPr>
          </xdr:nvSpPr>
          <xdr:spPr bwMode="auto">
            <a:xfrm>
              <a:off x="288" y="487"/>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38" name="Oval 57"/>
            <xdr:cNvSpPr>
              <a:spLocks noChangeArrowheads="1"/>
            </xdr:cNvSpPr>
          </xdr:nvSpPr>
          <xdr:spPr bwMode="auto">
            <a:xfrm>
              <a:off x="346" y="485"/>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39" name="Oval 58"/>
            <xdr:cNvSpPr>
              <a:spLocks noChangeArrowheads="1"/>
            </xdr:cNvSpPr>
          </xdr:nvSpPr>
          <xdr:spPr bwMode="auto">
            <a:xfrm>
              <a:off x="403" y="487"/>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40" name="Oval 59"/>
            <xdr:cNvSpPr>
              <a:spLocks noChangeArrowheads="1"/>
            </xdr:cNvSpPr>
          </xdr:nvSpPr>
          <xdr:spPr bwMode="auto">
            <a:xfrm>
              <a:off x="461" y="487"/>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5997" name="Rectangle 61"/>
          <xdr:cNvSpPr>
            <a:spLocks noChangeArrowheads="1"/>
          </xdr:cNvSpPr>
        </xdr:nvSpPr>
        <xdr:spPr bwMode="auto">
          <a:xfrm>
            <a:off x="40" y="577"/>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998" name="Rectangle 62"/>
          <xdr:cNvSpPr>
            <a:spLocks noChangeArrowheads="1"/>
          </xdr:cNvSpPr>
        </xdr:nvSpPr>
        <xdr:spPr bwMode="auto">
          <a:xfrm>
            <a:off x="155" y="578"/>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999" name="Rectangle 63"/>
          <xdr:cNvSpPr>
            <a:spLocks noChangeArrowheads="1"/>
          </xdr:cNvSpPr>
        </xdr:nvSpPr>
        <xdr:spPr bwMode="auto">
          <a:xfrm>
            <a:off x="269" y="577"/>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00" name="Rectangle 64"/>
          <xdr:cNvSpPr>
            <a:spLocks noChangeArrowheads="1"/>
          </xdr:cNvSpPr>
        </xdr:nvSpPr>
        <xdr:spPr bwMode="auto">
          <a:xfrm>
            <a:off x="384" y="577"/>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01" name="Oval 65"/>
          <xdr:cNvSpPr>
            <a:spLocks noChangeArrowheads="1"/>
          </xdr:cNvSpPr>
        </xdr:nvSpPr>
        <xdr:spPr bwMode="auto">
          <a:xfrm>
            <a:off x="58" y="557"/>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02" name="Oval 66"/>
          <xdr:cNvSpPr>
            <a:spLocks noChangeArrowheads="1"/>
          </xdr:cNvSpPr>
        </xdr:nvSpPr>
        <xdr:spPr bwMode="auto">
          <a:xfrm>
            <a:off x="111" y="557"/>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03" name="Oval 67"/>
          <xdr:cNvSpPr>
            <a:spLocks noChangeArrowheads="1"/>
          </xdr:cNvSpPr>
        </xdr:nvSpPr>
        <xdr:spPr bwMode="auto">
          <a:xfrm>
            <a:off x="172" y="558"/>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04" name="Oval 68"/>
          <xdr:cNvSpPr>
            <a:spLocks noChangeArrowheads="1"/>
          </xdr:cNvSpPr>
        </xdr:nvSpPr>
        <xdr:spPr bwMode="auto">
          <a:xfrm>
            <a:off x="231" y="558"/>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05" name="Oval 69"/>
          <xdr:cNvSpPr>
            <a:spLocks noChangeArrowheads="1"/>
          </xdr:cNvSpPr>
        </xdr:nvSpPr>
        <xdr:spPr bwMode="auto">
          <a:xfrm>
            <a:off x="288" y="559"/>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06" name="Oval 70"/>
          <xdr:cNvSpPr>
            <a:spLocks noChangeArrowheads="1"/>
          </xdr:cNvSpPr>
        </xdr:nvSpPr>
        <xdr:spPr bwMode="auto">
          <a:xfrm>
            <a:off x="346" y="557"/>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07" name="Oval 71"/>
          <xdr:cNvSpPr>
            <a:spLocks noChangeArrowheads="1"/>
          </xdr:cNvSpPr>
        </xdr:nvSpPr>
        <xdr:spPr bwMode="auto">
          <a:xfrm>
            <a:off x="403" y="559"/>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08" name="Oval 72"/>
          <xdr:cNvSpPr>
            <a:spLocks noChangeArrowheads="1"/>
          </xdr:cNvSpPr>
        </xdr:nvSpPr>
        <xdr:spPr bwMode="auto">
          <a:xfrm>
            <a:off x="461" y="559"/>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nvGrpSpPr>
          <xdr:cNvPr id="6009" name="Group 76"/>
          <xdr:cNvGrpSpPr>
            <a:grpSpLocks/>
          </xdr:cNvGrpSpPr>
        </xdr:nvGrpSpPr>
        <xdr:grpSpPr bwMode="auto">
          <a:xfrm>
            <a:off x="565" y="557"/>
            <a:ext cx="115" cy="37"/>
            <a:chOff x="565" y="557"/>
            <a:chExt cx="115" cy="37"/>
          </a:xfrm>
        </xdr:grpSpPr>
        <xdr:sp macro="" textlink="">
          <xdr:nvSpPr>
            <xdr:cNvPr id="6026" name="Rectangle 73"/>
            <xdr:cNvSpPr>
              <a:spLocks noChangeArrowheads="1"/>
            </xdr:cNvSpPr>
          </xdr:nvSpPr>
          <xdr:spPr bwMode="auto">
            <a:xfrm>
              <a:off x="565" y="576"/>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27" name="Oval 74"/>
            <xdr:cNvSpPr>
              <a:spLocks noChangeArrowheads="1"/>
            </xdr:cNvSpPr>
          </xdr:nvSpPr>
          <xdr:spPr bwMode="auto">
            <a:xfrm>
              <a:off x="661" y="558"/>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28" name="Oval 75"/>
            <xdr:cNvSpPr>
              <a:spLocks noChangeArrowheads="1"/>
            </xdr:cNvSpPr>
          </xdr:nvSpPr>
          <xdr:spPr bwMode="auto">
            <a:xfrm>
              <a:off x="566" y="557"/>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6010" name="Group 77"/>
          <xdr:cNvGrpSpPr>
            <a:grpSpLocks/>
          </xdr:cNvGrpSpPr>
        </xdr:nvGrpSpPr>
        <xdr:grpSpPr bwMode="auto">
          <a:xfrm>
            <a:off x="565" y="519"/>
            <a:ext cx="115" cy="37"/>
            <a:chOff x="565" y="557"/>
            <a:chExt cx="115" cy="37"/>
          </a:xfrm>
        </xdr:grpSpPr>
        <xdr:sp macro="" textlink="">
          <xdr:nvSpPr>
            <xdr:cNvPr id="6023" name="Rectangle 78"/>
            <xdr:cNvSpPr>
              <a:spLocks noChangeArrowheads="1"/>
            </xdr:cNvSpPr>
          </xdr:nvSpPr>
          <xdr:spPr bwMode="auto">
            <a:xfrm>
              <a:off x="565" y="576"/>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24" name="Oval 79"/>
            <xdr:cNvSpPr>
              <a:spLocks noChangeArrowheads="1"/>
            </xdr:cNvSpPr>
          </xdr:nvSpPr>
          <xdr:spPr bwMode="auto">
            <a:xfrm>
              <a:off x="661" y="558"/>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25" name="Oval 80"/>
            <xdr:cNvSpPr>
              <a:spLocks noChangeArrowheads="1"/>
            </xdr:cNvSpPr>
          </xdr:nvSpPr>
          <xdr:spPr bwMode="auto">
            <a:xfrm>
              <a:off x="566" y="557"/>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6011" name="Group 81"/>
          <xdr:cNvGrpSpPr>
            <a:grpSpLocks/>
          </xdr:cNvGrpSpPr>
        </xdr:nvGrpSpPr>
        <xdr:grpSpPr bwMode="auto">
          <a:xfrm>
            <a:off x="566" y="485"/>
            <a:ext cx="115" cy="37"/>
            <a:chOff x="565" y="557"/>
            <a:chExt cx="115" cy="37"/>
          </a:xfrm>
        </xdr:grpSpPr>
        <xdr:sp macro="" textlink="">
          <xdr:nvSpPr>
            <xdr:cNvPr id="6020" name="Rectangle 82"/>
            <xdr:cNvSpPr>
              <a:spLocks noChangeArrowheads="1"/>
            </xdr:cNvSpPr>
          </xdr:nvSpPr>
          <xdr:spPr bwMode="auto">
            <a:xfrm>
              <a:off x="565" y="576"/>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21" name="Oval 83"/>
            <xdr:cNvSpPr>
              <a:spLocks noChangeArrowheads="1"/>
            </xdr:cNvSpPr>
          </xdr:nvSpPr>
          <xdr:spPr bwMode="auto">
            <a:xfrm>
              <a:off x="661" y="558"/>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22" name="Oval 84"/>
            <xdr:cNvSpPr>
              <a:spLocks noChangeArrowheads="1"/>
            </xdr:cNvSpPr>
          </xdr:nvSpPr>
          <xdr:spPr bwMode="auto">
            <a:xfrm>
              <a:off x="566" y="557"/>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6012" name="Group 85"/>
          <xdr:cNvGrpSpPr>
            <a:grpSpLocks/>
          </xdr:cNvGrpSpPr>
        </xdr:nvGrpSpPr>
        <xdr:grpSpPr bwMode="auto">
          <a:xfrm>
            <a:off x="565" y="449"/>
            <a:ext cx="115" cy="37"/>
            <a:chOff x="565" y="557"/>
            <a:chExt cx="115" cy="37"/>
          </a:xfrm>
        </xdr:grpSpPr>
        <xdr:sp macro="" textlink="">
          <xdr:nvSpPr>
            <xdr:cNvPr id="6017" name="Rectangle 86"/>
            <xdr:cNvSpPr>
              <a:spLocks noChangeArrowheads="1"/>
            </xdr:cNvSpPr>
          </xdr:nvSpPr>
          <xdr:spPr bwMode="auto">
            <a:xfrm>
              <a:off x="565" y="576"/>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18" name="Oval 87"/>
            <xdr:cNvSpPr>
              <a:spLocks noChangeArrowheads="1"/>
            </xdr:cNvSpPr>
          </xdr:nvSpPr>
          <xdr:spPr bwMode="auto">
            <a:xfrm>
              <a:off x="661" y="558"/>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19" name="Oval 88"/>
            <xdr:cNvSpPr>
              <a:spLocks noChangeArrowheads="1"/>
            </xdr:cNvSpPr>
          </xdr:nvSpPr>
          <xdr:spPr bwMode="auto">
            <a:xfrm>
              <a:off x="566" y="557"/>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6013" name="Group 89"/>
          <xdr:cNvGrpSpPr>
            <a:grpSpLocks/>
          </xdr:cNvGrpSpPr>
        </xdr:nvGrpSpPr>
        <xdr:grpSpPr bwMode="auto">
          <a:xfrm>
            <a:off x="566" y="414"/>
            <a:ext cx="115" cy="37"/>
            <a:chOff x="565" y="557"/>
            <a:chExt cx="115" cy="37"/>
          </a:xfrm>
        </xdr:grpSpPr>
        <xdr:sp macro="" textlink="">
          <xdr:nvSpPr>
            <xdr:cNvPr id="6014" name="Rectangle 90"/>
            <xdr:cNvSpPr>
              <a:spLocks noChangeArrowheads="1"/>
            </xdr:cNvSpPr>
          </xdr:nvSpPr>
          <xdr:spPr bwMode="auto">
            <a:xfrm>
              <a:off x="565" y="576"/>
              <a:ext cx="114" cy="1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015" name="Oval 91"/>
            <xdr:cNvSpPr>
              <a:spLocks noChangeArrowheads="1"/>
            </xdr:cNvSpPr>
          </xdr:nvSpPr>
          <xdr:spPr bwMode="auto">
            <a:xfrm>
              <a:off x="661" y="558"/>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16" name="Oval 92"/>
            <xdr:cNvSpPr>
              <a:spLocks noChangeArrowheads="1"/>
            </xdr:cNvSpPr>
          </xdr:nvSpPr>
          <xdr:spPr bwMode="auto">
            <a:xfrm>
              <a:off x="566" y="557"/>
              <a:ext cx="19" cy="1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3</xdr:col>
      <xdr:colOff>0</xdr:colOff>
      <xdr:row>22</xdr:row>
      <xdr:rowOff>0</xdr:rowOff>
    </xdr:from>
    <xdr:to>
      <xdr:col>3</xdr:col>
      <xdr:colOff>0</xdr:colOff>
      <xdr:row>34</xdr:row>
      <xdr:rowOff>38100</xdr:rowOff>
    </xdr:to>
    <xdr:sp macro="" textlink="">
      <xdr:nvSpPr>
        <xdr:cNvPr id="5978" name="Line 94"/>
        <xdr:cNvSpPr>
          <a:spLocks noChangeShapeType="1"/>
        </xdr:cNvSpPr>
      </xdr:nvSpPr>
      <xdr:spPr bwMode="auto">
        <a:xfrm>
          <a:off x="1143000" y="3771900"/>
          <a:ext cx="0" cy="209550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22</xdr:row>
      <xdr:rowOff>0</xdr:rowOff>
    </xdr:from>
    <xdr:to>
      <xdr:col>10</xdr:col>
      <xdr:colOff>9525</xdr:colOff>
      <xdr:row>34</xdr:row>
      <xdr:rowOff>38100</xdr:rowOff>
    </xdr:to>
    <xdr:sp macro="" textlink="">
      <xdr:nvSpPr>
        <xdr:cNvPr id="5979" name="Line 95"/>
        <xdr:cNvSpPr>
          <a:spLocks noChangeShapeType="1"/>
        </xdr:cNvSpPr>
      </xdr:nvSpPr>
      <xdr:spPr bwMode="auto">
        <a:xfrm>
          <a:off x="3819525" y="3771900"/>
          <a:ext cx="0" cy="209550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371475</xdr:colOff>
      <xdr:row>34</xdr:row>
      <xdr:rowOff>76200</xdr:rowOff>
    </xdr:from>
    <xdr:to>
      <xdr:col>10</xdr:col>
      <xdr:colOff>9525</xdr:colOff>
      <xdr:row>35</xdr:row>
      <xdr:rowOff>104775</xdr:rowOff>
    </xdr:to>
    <xdr:grpSp>
      <xdr:nvGrpSpPr>
        <xdr:cNvPr id="5980" name="Group 104"/>
        <xdr:cNvGrpSpPr>
          <a:grpSpLocks/>
        </xdr:cNvGrpSpPr>
      </xdr:nvGrpSpPr>
      <xdr:grpSpPr bwMode="auto">
        <a:xfrm>
          <a:off x="1133475" y="5905500"/>
          <a:ext cx="2686050" cy="200025"/>
          <a:chOff x="119" y="620"/>
          <a:chExt cx="282" cy="21"/>
        </a:xfrm>
      </xdr:grpSpPr>
      <xdr:sp macro="" textlink="">
        <xdr:nvSpPr>
          <xdr:cNvPr id="5990" name="Line 96"/>
          <xdr:cNvSpPr>
            <a:spLocks noChangeShapeType="1"/>
          </xdr:cNvSpPr>
        </xdr:nvSpPr>
        <xdr:spPr bwMode="auto">
          <a:xfrm>
            <a:off x="119" y="629"/>
            <a:ext cx="281"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5991" name="Line 97"/>
          <xdr:cNvSpPr>
            <a:spLocks noChangeShapeType="1"/>
          </xdr:cNvSpPr>
        </xdr:nvSpPr>
        <xdr:spPr bwMode="auto">
          <a:xfrm>
            <a:off x="401" y="621"/>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992" name="Line 98"/>
          <xdr:cNvSpPr>
            <a:spLocks noChangeShapeType="1"/>
          </xdr:cNvSpPr>
        </xdr:nvSpPr>
        <xdr:spPr bwMode="auto">
          <a:xfrm>
            <a:off x="120" y="620"/>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12</xdr:col>
      <xdr:colOff>180975</xdr:colOff>
      <xdr:row>22</xdr:row>
      <xdr:rowOff>161925</xdr:rowOff>
    </xdr:from>
    <xdr:to>
      <xdr:col>14</xdr:col>
      <xdr:colOff>0</xdr:colOff>
      <xdr:row>22</xdr:row>
      <xdr:rowOff>161925</xdr:rowOff>
    </xdr:to>
    <xdr:sp macro="" textlink="">
      <xdr:nvSpPr>
        <xdr:cNvPr id="5981" name="Line 99"/>
        <xdr:cNvSpPr>
          <a:spLocks noChangeShapeType="1"/>
        </xdr:cNvSpPr>
      </xdr:nvSpPr>
      <xdr:spPr bwMode="auto">
        <a:xfrm>
          <a:off x="4752975" y="39338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209550</xdr:colOff>
      <xdr:row>33</xdr:row>
      <xdr:rowOff>0</xdr:rowOff>
    </xdr:from>
    <xdr:to>
      <xdr:col>14</xdr:col>
      <xdr:colOff>28575</xdr:colOff>
      <xdr:row>33</xdr:row>
      <xdr:rowOff>0</xdr:rowOff>
    </xdr:to>
    <xdr:sp macro="" textlink="">
      <xdr:nvSpPr>
        <xdr:cNvPr id="5982" name="Line 100"/>
        <xdr:cNvSpPr>
          <a:spLocks noChangeShapeType="1"/>
        </xdr:cNvSpPr>
      </xdr:nvSpPr>
      <xdr:spPr bwMode="auto">
        <a:xfrm>
          <a:off x="4781550" y="5657850"/>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161925</xdr:rowOff>
    </xdr:from>
    <xdr:to>
      <xdr:col>13</xdr:col>
      <xdr:colOff>0</xdr:colOff>
      <xdr:row>32</xdr:row>
      <xdr:rowOff>161925</xdr:rowOff>
    </xdr:to>
    <xdr:sp macro="" textlink="">
      <xdr:nvSpPr>
        <xdr:cNvPr id="5983" name="Line 101"/>
        <xdr:cNvSpPr>
          <a:spLocks noChangeShapeType="1"/>
        </xdr:cNvSpPr>
      </xdr:nvSpPr>
      <xdr:spPr bwMode="auto">
        <a:xfrm>
          <a:off x="4953000" y="3933825"/>
          <a:ext cx="0" cy="17145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152400</xdr:colOff>
      <xdr:row>22</xdr:row>
      <xdr:rowOff>19050</xdr:rowOff>
    </xdr:from>
    <xdr:to>
      <xdr:col>14</xdr:col>
      <xdr:colOff>152400</xdr:colOff>
      <xdr:row>34</xdr:row>
      <xdr:rowOff>57150</xdr:rowOff>
    </xdr:to>
    <xdr:sp macro="" textlink="">
      <xdr:nvSpPr>
        <xdr:cNvPr id="5984" name="Line 102"/>
        <xdr:cNvSpPr>
          <a:spLocks noChangeShapeType="1"/>
        </xdr:cNvSpPr>
      </xdr:nvSpPr>
      <xdr:spPr bwMode="auto">
        <a:xfrm>
          <a:off x="5486400" y="3790950"/>
          <a:ext cx="0" cy="209550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xdr:col>
      <xdr:colOff>295275</xdr:colOff>
      <xdr:row>22</xdr:row>
      <xdr:rowOff>9525</xdr:rowOff>
    </xdr:from>
    <xdr:to>
      <xdr:col>16</xdr:col>
      <xdr:colOff>295275</xdr:colOff>
      <xdr:row>34</xdr:row>
      <xdr:rowOff>47625</xdr:rowOff>
    </xdr:to>
    <xdr:sp macro="" textlink="">
      <xdr:nvSpPr>
        <xdr:cNvPr id="5985" name="Line 103"/>
        <xdr:cNvSpPr>
          <a:spLocks noChangeShapeType="1"/>
        </xdr:cNvSpPr>
      </xdr:nvSpPr>
      <xdr:spPr bwMode="auto">
        <a:xfrm>
          <a:off x="6391275" y="3781425"/>
          <a:ext cx="0" cy="209550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152400</xdr:colOff>
      <xdr:row>34</xdr:row>
      <xdr:rowOff>95250</xdr:rowOff>
    </xdr:from>
    <xdr:to>
      <xdr:col>16</xdr:col>
      <xdr:colOff>295275</xdr:colOff>
      <xdr:row>35</xdr:row>
      <xdr:rowOff>133350</xdr:rowOff>
    </xdr:to>
    <xdr:grpSp>
      <xdr:nvGrpSpPr>
        <xdr:cNvPr id="5986" name="Group 105"/>
        <xdr:cNvGrpSpPr>
          <a:grpSpLocks/>
        </xdr:cNvGrpSpPr>
      </xdr:nvGrpSpPr>
      <xdr:grpSpPr bwMode="auto">
        <a:xfrm>
          <a:off x="5486400" y="5924550"/>
          <a:ext cx="904875" cy="209550"/>
          <a:chOff x="119" y="620"/>
          <a:chExt cx="282" cy="21"/>
        </a:xfrm>
      </xdr:grpSpPr>
      <xdr:sp macro="" textlink="">
        <xdr:nvSpPr>
          <xdr:cNvPr id="5987" name="Line 106"/>
          <xdr:cNvSpPr>
            <a:spLocks noChangeShapeType="1"/>
          </xdr:cNvSpPr>
        </xdr:nvSpPr>
        <xdr:spPr bwMode="auto">
          <a:xfrm>
            <a:off x="119" y="629"/>
            <a:ext cx="281"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5988" name="Line 107"/>
          <xdr:cNvSpPr>
            <a:spLocks noChangeShapeType="1"/>
          </xdr:cNvSpPr>
        </xdr:nvSpPr>
        <xdr:spPr bwMode="auto">
          <a:xfrm>
            <a:off x="401" y="621"/>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989" name="Line 108"/>
          <xdr:cNvSpPr>
            <a:spLocks noChangeShapeType="1"/>
          </xdr:cNvSpPr>
        </xdr:nvSpPr>
        <xdr:spPr bwMode="auto">
          <a:xfrm>
            <a:off x="120" y="620"/>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A12\H\&#26862;&#30000;\&#26408;&#35069;&#27835;&#23665;&#12480;&#12512;\&#26032;&#12479;&#12452;&#12503;&#26029;&#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出力1"/>
      <sheetName val="出力2"/>
    </sheetNames>
    <sheetDataSet>
      <sheetData sheetId="0" refreshError="1">
        <row r="3">
          <cell r="C3">
            <v>5.0999999999999996</v>
          </cell>
        </row>
        <row r="4">
          <cell r="C4">
            <v>0.5</v>
          </cell>
        </row>
        <row r="5">
          <cell r="C5">
            <v>1.8</v>
          </cell>
        </row>
        <row r="6">
          <cell r="C6">
            <v>0</v>
          </cell>
        </row>
        <row r="7">
          <cell r="C7">
            <v>0</v>
          </cell>
        </row>
        <row r="9">
          <cell r="C9">
            <v>1.66</v>
          </cell>
        </row>
        <row r="10">
          <cell r="C10">
            <v>1.2</v>
          </cell>
        </row>
        <row r="11">
          <cell r="C11">
            <v>1.8</v>
          </cell>
        </row>
        <row r="13">
          <cell r="C13">
            <v>0.5</v>
          </cell>
        </row>
        <row r="14">
          <cell r="C14">
            <v>0.33300000000000002</v>
          </cell>
        </row>
        <row r="15">
          <cell r="C15">
            <v>20</v>
          </cell>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H36"/>
  <sheetViews>
    <sheetView tabSelected="1" view="pageBreakPreview" topLeftCell="A10" zoomScaleNormal="100" workbookViewId="0">
      <selection activeCell="J21" sqref="J21"/>
    </sheetView>
  </sheetViews>
  <sheetFormatPr defaultRowHeight="13.5"/>
  <cols>
    <col min="1" max="1" width="2" customWidth="1"/>
    <col min="2" max="2" width="16.5" bestFit="1" customWidth="1"/>
    <col min="8" max="8" width="1.375" customWidth="1"/>
    <col min="257" max="257" width="2" customWidth="1"/>
    <col min="258" max="258" width="16.5" bestFit="1" customWidth="1"/>
    <col min="264" max="264" width="1.375" customWidth="1"/>
    <col min="513" max="513" width="2" customWidth="1"/>
    <col min="514" max="514" width="16.5" bestFit="1" customWidth="1"/>
    <col min="520" max="520" width="1.375" customWidth="1"/>
    <col min="769" max="769" width="2" customWidth="1"/>
    <col min="770" max="770" width="16.5" bestFit="1" customWidth="1"/>
    <col min="776" max="776" width="1.375" customWidth="1"/>
    <col min="1025" max="1025" width="2" customWidth="1"/>
    <col min="1026" max="1026" width="16.5" bestFit="1" customWidth="1"/>
    <col min="1032" max="1032" width="1.375" customWidth="1"/>
    <col min="1281" max="1281" width="2" customWidth="1"/>
    <col min="1282" max="1282" width="16.5" bestFit="1" customWidth="1"/>
    <col min="1288" max="1288" width="1.375" customWidth="1"/>
    <col min="1537" max="1537" width="2" customWidth="1"/>
    <col min="1538" max="1538" width="16.5" bestFit="1" customWidth="1"/>
    <col min="1544" max="1544" width="1.375" customWidth="1"/>
    <col min="1793" max="1793" width="2" customWidth="1"/>
    <col min="1794" max="1794" width="16.5" bestFit="1" customWidth="1"/>
    <col min="1800" max="1800" width="1.375" customWidth="1"/>
    <col min="2049" max="2049" width="2" customWidth="1"/>
    <col min="2050" max="2050" width="16.5" bestFit="1" customWidth="1"/>
    <col min="2056" max="2056" width="1.375" customWidth="1"/>
    <col min="2305" max="2305" width="2" customWidth="1"/>
    <col min="2306" max="2306" width="16.5" bestFit="1" customWidth="1"/>
    <col min="2312" max="2312" width="1.375" customWidth="1"/>
    <col min="2561" max="2561" width="2" customWidth="1"/>
    <col min="2562" max="2562" width="16.5" bestFit="1" customWidth="1"/>
    <col min="2568" max="2568" width="1.375" customWidth="1"/>
    <col min="2817" max="2817" width="2" customWidth="1"/>
    <col min="2818" max="2818" width="16.5" bestFit="1" customWidth="1"/>
    <col min="2824" max="2824" width="1.375" customWidth="1"/>
    <col min="3073" max="3073" width="2" customWidth="1"/>
    <col min="3074" max="3074" width="16.5" bestFit="1" customWidth="1"/>
    <col min="3080" max="3080" width="1.375" customWidth="1"/>
    <col min="3329" max="3329" width="2" customWidth="1"/>
    <col min="3330" max="3330" width="16.5" bestFit="1" customWidth="1"/>
    <col min="3336" max="3336" width="1.375" customWidth="1"/>
    <col min="3585" max="3585" width="2" customWidth="1"/>
    <col min="3586" max="3586" width="16.5" bestFit="1" customWidth="1"/>
    <col min="3592" max="3592" width="1.375" customWidth="1"/>
    <col min="3841" max="3841" width="2" customWidth="1"/>
    <col min="3842" max="3842" width="16.5" bestFit="1" customWidth="1"/>
    <col min="3848" max="3848" width="1.375" customWidth="1"/>
    <col min="4097" max="4097" width="2" customWidth="1"/>
    <col min="4098" max="4098" width="16.5" bestFit="1" customWidth="1"/>
    <col min="4104" max="4104" width="1.375" customWidth="1"/>
    <col min="4353" max="4353" width="2" customWidth="1"/>
    <col min="4354" max="4354" width="16.5" bestFit="1" customWidth="1"/>
    <col min="4360" max="4360" width="1.375" customWidth="1"/>
    <col min="4609" max="4609" width="2" customWidth="1"/>
    <col min="4610" max="4610" width="16.5" bestFit="1" customWidth="1"/>
    <col min="4616" max="4616" width="1.375" customWidth="1"/>
    <col min="4865" max="4865" width="2" customWidth="1"/>
    <col min="4866" max="4866" width="16.5" bestFit="1" customWidth="1"/>
    <col min="4872" max="4872" width="1.375" customWidth="1"/>
    <col min="5121" max="5121" width="2" customWidth="1"/>
    <col min="5122" max="5122" width="16.5" bestFit="1" customWidth="1"/>
    <col min="5128" max="5128" width="1.375" customWidth="1"/>
    <col min="5377" max="5377" width="2" customWidth="1"/>
    <col min="5378" max="5378" width="16.5" bestFit="1" customWidth="1"/>
    <col min="5384" max="5384" width="1.375" customWidth="1"/>
    <col min="5633" max="5633" width="2" customWidth="1"/>
    <col min="5634" max="5634" width="16.5" bestFit="1" customWidth="1"/>
    <col min="5640" max="5640" width="1.375" customWidth="1"/>
    <col min="5889" max="5889" width="2" customWidth="1"/>
    <col min="5890" max="5890" width="16.5" bestFit="1" customWidth="1"/>
    <col min="5896" max="5896" width="1.375" customWidth="1"/>
    <col min="6145" max="6145" width="2" customWidth="1"/>
    <col min="6146" max="6146" width="16.5" bestFit="1" customWidth="1"/>
    <col min="6152" max="6152" width="1.375" customWidth="1"/>
    <col min="6401" max="6401" width="2" customWidth="1"/>
    <col min="6402" max="6402" width="16.5" bestFit="1" customWidth="1"/>
    <col min="6408" max="6408" width="1.375" customWidth="1"/>
    <col min="6657" max="6657" width="2" customWidth="1"/>
    <col min="6658" max="6658" width="16.5" bestFit="1" customWidth="1"/>
    <col min="6664" max="6664" width="1.375" customWidth="1"/>
    <col min="6913" max="6913" width="2" customWidth="1"/>
    <col min="6914" max="6914" width="16.5" bestFit="1" customWidth="1"/>
    <col min="6920" max="6920" width="1.375" customWidth="1"/>
    <col min="7169" max="7169" width="2" customWidth="1"/>
    <col min="7170" max="7170" width="16.5" bestFit="1" customWidth="1"/>
    <col min="7176" max="7176" width="1.375" customWidth="1"/>
    <col min="7425" max="7425" width="2" customWidth="1"/>
    <col min="7426" max="7426" width="16.5" bestFit="1" customWidth="1"/>
    <col min="7432" max="7432" width="1.375" customWidth="1"/>
    <col min="7681" max="7681" width="2" customWidth="1"/>
    <col min="7682" max="7682" width="16.5" bestFit="1" customWidth="1"/>
    <col min="7688" max="7688" width="1.375" customWidth="1"/>
    <col min="7937" max="7937" width="2" customWidth="1"/>
    <col min="7938" max="7938" width="16.5" bestFit="1" customWidth="1"/>
    <col min="7944" max="7944" width="1.375" customWidth="1"/>
    <col min="8193" max="8193" width="2" customWidth="1"/>
    <col min="8194" max="8194" width="16.5" bestFit="1" customWidth="1"/>
    <col min="8200" max="8200" width="1.375" customWidth="1"/>
    <col min="8449" max="8449" width="2" customWidth="1"/>
    <col min="8450" max="8450" width="16.5" bestFit="1" customWidth="1"/>
    <col min="8456" max="8456" width="1.375" customWidth="1"/>
    <col min="8705" max="8705" width="2" customWidth="1"/>
    <col min="8706" max="8706" width="16.5" bestFit="1" customWidth="1"/>
    <col min="8712" max="8712" width="1.375" customWidth="1"/>
    <col min="8961" max="8961" width="2" customWidth="1"/>
    <col min="8962" max="8962" width="16.5" bestFit="1" customWidth="1"/>
    <col min="8968" max="8968" width="1.375" customWidth="1"/>
    <col min="9217" max="9217" width="2" customWidth="1"/>
    <col min="9218" max="9218" width="16.5" bestFit="1" customWidth="1"/>
    <col min="9224" max="9224" width="1.375" customWidth="1"/>
    <col min="9473" max="9473" width="2" customWidth="1"/>
    <col min="9474" max="9474" width="16.5" bestFit="1" customWidth="1"/>
    <col min="9480" max="9480" width="1.375" customWidth="1"/>
    <col min="9729" max="9729" width="2" customWidth="1"/>
    <col min="9730" max="9730" width="16.5" bestFit="1" customWidth="1"/>
    <col min="9736" max="9736" width="1.375" customWidth="1"/>
    <col min="9985" max="9985" width="2" customWidth="1"/>
    <col min="9986" max="9986" width="16.5" bestFit="1" customWidth="1"/>
    <col min="9992" max="9992" width="1.375" customWidth="1"/>
    <col min="10241" max="10241" width="2" customWidth="1"/>
    <col min="10242" max="10242" width="16.5" bestFit="1" customWidth="1"/>
    <col min="10248" max="10248" width="1.375" customWidth="1"/>
    <col min="10497" max="10497" width="2" customWidth="1"/>
    <col min="10498" max="10498" width="16.5" bestFit="1" customWidth="1"/>
    <col min="10504" max="10504" width="1.375" customWidth="1"/>
    <col min="10753" max="10753" width="2" customWidth="1"/>
    <col min="10754" max="10754" width="16.5" bestFit="1" customWidth="1"/>
    <col min="10760" max="10760" width="1.375" customWidth="1"/>
    <col min="11009" max="11009" width="2" customWidth="1"/>
    <col min="11010" max="11010" width="16.5" bestFit="1" customWidth="1"/>
    <col min="11016" max="11016" width="1.375" customWidth="1"/>
    <col min="11265" max="11265" width="2" customWidth="1"/>
    <col min="11266" max="11266" width="16.5" bestFit="1" customWidth="1"/>
    <col min="11272" max="11272" width="1.375" customWidth="1"/>
    <col min="11521" max="11521" width="2" customWidth="1"/>
    <col min="11522" max="11522" width="16.5" bestFit="1" customWidth="1"/>
    <col min="11528" max="11528" width="1.375" customWidth="1"/>
    <col min="11777" max="11777" width="2" customWidth="1"/>
    <col min="11778" max="11778" width="16.5" bestFit="1" customWidth="1"/>
    <col min="11784" max="11784" width="1.375" customWidth="1"/>
    <col min="12033" max="12033" width="2" customWidth="1"/>
    <col min="12034" max="12034" width="16.5" bestFit="1" customWidth="1"/>
    <col min="12040" max="12040" width="1.375" customWidth="1"/>
    <col min="12289" max="12289" width="2" customWidth="1"/>
    <col min="12290" max="12290" width="16.5" bestFit="1" customWidth="1"/>
    <col min="12296" max="12296" width="1.375" customWidth="1"/>
    <col min="12545" max="12545" width="2" customWidth="1"/>
    <col min="12546" max="12546" width="16.5" bestFit="1" customWidth="1"/>
    <col min="12552" max="12552" width="1.375" customWidth="1"/>
    <col min="12801" max="12801" width="2" customWidth="1"/>
    <col min="12802" max="12802" width="16.5" bestFit="1" customWidth="1"/>
    <col min="12808" max="12808" width="1.375" customWidth="1"/>
    <col min="13057" max="13057" width="2" customWidth="1"/>
    <col min="13058" max="13058" width="16.5" bestFit="1" customWidth="1"/>
    <col min="13064" max="13064" width="1.375" customWidth="1"/>
    <col min="13313" max="13313" width="2" customWidth="1"/>
    <col min="13314" max="13314" width="16.5" bestFit="1" customWidth="1"/>
    <col min="13320" max="13320" width="1.375" customWidth="1"/>
    <col min="13569" max="13569" width="2" customWidth="1"/>
    <col min="13570" max="13570" width="16.5" bestFit="1" customWidth="1"/>
    <col min="13576" max="13576" width="1.375" customWidth="1"/>
    <col min="13825" max="13825" width="2" customWidth="1"/>
    <col min="13826" max="13826" width="16.5" bestFit="1" customWidth="1"/>
    <col min="13832" max="13832" width="1.375" customWidth="1"/>
    <col min="14081" max="14081" width="2" customWidth="1"/>
    <col min="14082" max="14082" width="16.5" bestFit="1" customWidth="1"/>
    <col min="14088" max="14088" width="1.375" customWidth="1"/>
    <col min="14337" max="14337" width="2" customWidth="1"/>
    <col min="14338" max="14338" width="16.5" bestFit="1" customWidth="1"/>
    <col min="14344" max="14344" width="1.375" customWidth="1"/>
    <col min="14593" max="14593" width="2" customWidth="1"/>
    <col min="14594" max="14594" width="16.5" bestFit="1" customWidth="1"/>
    <col min="14600" max="14600" width="1.375" customWidth="1"/>
    <col min="14849" max="14849" width="2" customWidth="1"/>
    <col min="14850" max="14850" width="16.5" bestFit="1" customWidth="1"/>
    <col min="14856" max="14856" width="1.375" customWidth="1"/>
    <col min="15105" max="15105" width="2" customWidth="1"/>
    <col min="15106" max="15106" width="16.5" bestFit="1" customWidth="1"/>
    <col min="15112" max="15112" width="1.375" customWidth="1"/>
    <col min="15361" max="15361" width="2" customWidth="1"/>
    <col min="15362" max="15362" width="16.5" bestFit="1" customWidth="1"/>
    <col min="15368" max="15368" width="1.375" customWidth="1"/>
    <col min="15617" max="15617" width="2" customWidth="1"/>
    <col min="15618" max="15618" width="16.5" bestFit="1" customWidth="1"/>
    <col min="15624" max="15624" width="1.375" customWidth="1"/>
    <col min="15873" max="15873" width="2" customWidth="1"/>
    <col min="15874" max="15874" width="16.5" bestFit="1" customWidth="1"/>
    <col min="15880" max="15880" width="1.375" customWidth="1"/>
    <col min="16129" max="16129" width="2" customWidth="1"/>
    <col min="16130" max="16130" width="16.5" bestFit="1" customWidth="1"/>
    <col min="16136" max="16136" width="1.375" customWidth="1"/>
  </cols>
  <sheetData>
    <row r="20" spans="2:8">
      <c r="B20" t="s">
        <v>143</v>
      </c>
    </row>
    <row r="21" spans="2:8">
      <c r="B21" t="s">
        <v>137</v>
      </c>
    </row>
    <row r="22" spans="2:8">
      <c r="B22" s="110">
        <v>41361</v>
      </c>
    </row>
    <row r="23" spans="2:8">
      <c r="B23" s="114" t="s">
        <v>144</v>
      </c>
      <c r="C23" s="114"/>
      <c r="D23" s="114"/>
      <c r="E23" s="114"/>
      <c r="F23" s="114"/>
      <c r="G23" s="114"/>
      <c r="H23" s="111"/>
    </row>
    <row r="24" spans="2:8">
      <c r="B24" s="114"/>
      <c r="C24" s="114"/>
      <c r="D24" s="114"/>
      <c r="E24" s="114"/>
      <c r="F24" s="114"/>
      <c r="G24" s="114"/>
      <c r="H24" s="111"/>
    </row>
    <row r="25" spans="2:8">
      <c r="B25" s="115" t="s">
        <v>138</v>
      </c>
      <c r="C25" s="115"/>
      <c r="D25" s="115"/>
      <c r="E25" s="115"/>
      <c r="F25" s="115"/>
      <c r="G25" s="115"/>
      <c r="H25" s="112"/>
    </row>
    <row r="26" spans="2:8">
      <c r="B26" s="114" t="s">
        <v>139</v>
      </c>
      <c r="C26" s="114"/>
      <c r="D26" s="114"/>
      <c r="E26" s="114"/>
      <c r="F26" s="114"/>
      <c r="G26" s="114"/>
      <c r="H26" s="111"/>
    </row>
    <row r="27" spans="2:8">
      <c r="B27" s="114"/>
      <c r="C27" s="114"/>
      <c r="D27" s="114"/>
      <c r="E27" s="114"/>
      <c r="F27" s="114"/>
      <c r="G27" s="114"/>
      <c r="H27" s="111"/>
    </row>
    <row r="28" spans="2:8">
      <c r="B28" s="114"/>
      <c r="C28" s="114"/>
      <c r="D28" s="114"/>
      <c r="E28" s="114"/>
      <c r="F28" s="114"/>
      <c r="G28" s="114"/>
      <c r="H28" s="111"/>
    </row>
    <row r="29" spans="2:8">
      <c r="B29" s="114"/>
      <c r="C29" s="114"/>
      <c r="D29" s="114"/>
      <c r="E29" s="114"/>
      <c r="F29" s="114"/>
      <c r="G29" s="114"/>
      <c r="H29" s="111"/>
    </row>
    <row r="30" spans="2:8">
      <c r="B30" s="114"/>
      <c r="C30" s="114"/>
      <c r="D30" s="114"/>
      <c r="E30" s="114"/>
      <c r="F30" s="114"/>
      <c r="G30" s="114"/>
      <c r="H30" s="111"/>
    </row>
    <row r="31" spans="2:8">
      <c r="B31" s="114" t="s">
        <v>140</v>
      </c>
      <c r="C31" s="114"/>
      <c r="D31" s="114"/>
      <c r="E31" s="114"/>
      <c r="F31" s="114"/>
      <c r="G31" s="114"/>
      <c r="H31" s="111"/>
    </row>
    <row r="32" spans="2:8">
      <c r="B32" s="114"/>
      <c r="C32" s="114"/>
      <c r="D32" s="114"/>
      <c r="E32" s="114"/>
      <c r="F32" s="114"/>
      <c r="G32" s="114"/>
      <c r="H32" s="111"/>
    </row>
    <row r="33" spans="2:8">
      <c r="B33" s="114"/>
      <c r="C33" s="114"/>
      <c r="D33" s="114"/>
      <c r="E33" s="114"/>
      <c r="F33" s="114"/>
      <c r="G33" s="114"/>
      <c r="H33" s="111"/>
    </row>
    <row r="34" spans="2:8">
      <c r="B34" s="116" t="s">
        <v>141</v>
      </c>
      <c r="C34" s="116"/>
      <c r="D34" s="116"/>
      <c r="E34" s="116"/>
      <c r="F34" s="116"/>
      <c r="G34" s="116"/>
      <c r="H34" s="113"/>
    </row>
    <row r="35" spans="2:8">
      <c r="B35" s="116"/>
      <c r="C35" s="116"/>
      <c r="D35" s="116"/>
      <c r="E35" s="116"/>
      <c r="F35" s="116"/>
      <c r="G35" s="116"/>
      <c r="H35" s="113"/>
    </row>
    <row r="36" spans="2:8">
      <c r="B36" t="s">
        <v>142</v>
      </c>
    </row>
  </sheetData>
  <mergeCells count="5">
    <mergeCell ref="B23:G24"/>
    <mergeCell ref="B25:G25"/>
    <mergeCell ref="B26:G30"/>
    <mergeCell ref="B31:G33"/>
    <mergeCell ref="B34:G35"/>
  </mergeCells>
  <phoneticPr fontId="2"/>
  <printOptions horizontalCentered="1" verticalCentered="1"/>
  <pageMargins left="0.78740157480314965" right="0.78740157480314965" top="0.78740157480314965" bottom="0.78740157480314965" header="0.51181102362204722" footer="0.51181102362204722"/>
  <pageSetup paperSize="9" scale="133"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3"/>
  <sheetViews>
    <sheetView topLeftCell="A7" zoomScaleNormal="100" workbookViewId="0">
      <selection activeCell="C15" sqref="C15:D15"/>
    </sheetView>
  </sheetViews>
  <sheetFormatPr defaultRowHeight="13.5"/>
  <cols>
    <col min="1" max="1" width="3.625" customWidth="1"/>
    <col min="2" max="2" width="32" customWidth="1"/>
    <col min="3" max="3" width="3" customWidth="1"/>
    <col min="4" max="4" width="9.625" customWidth="1"/>
    <col min="5" max="5" width="3.25" customWidth="1"/>
    <col min="7" max="7" width="22.5" customWidth="1"/>
  </cols>
  <sheetData>
    <row r="2" spans="2:11" ht="30" customHeight="1">
      <c r="B2" s="139" t="s">
        <v>72</v>
      </c>
      <c r="C2" s="140"/>
      <c r="D2" s="140"/>
      <c r="E2" s="140"/>
      <c r="F2" s="140"/>
      <c r="G2" s="140"/>
    </row>
    <row r="4" spans="2:11">
      <c r="B4" s="3"/>
      <c r="C4" s="141" t="s">
        <v>14</v>
      </c>
      <c r="D4" s="142"/>
      <c r="E4" s="141" t="s">
        <v>13</v>
      </c>
      <c r="F4" s="145"/>
      <c r="G4" s="142"/>
      <c r="I4" s="36" t="s">
        <v>78</v>
      </c>
    </row>
    <row r="5" spans="2:11">
      <c r="B5" s="3" t="s">
        <v>15</v>
      </c>
      <c r="C5" s="143" t="s">
        <v>134</v>
      </c>
      <c r="D5" s="144"/>
      <c r="E5" s="120"/>
      <c r="F5" s="121"/>
      <c r="G5" s="122"/>
    </row>
    <row r="6" spans="2:11">
      <c r="B6" s="6" t="s">
        <v>16</v>
      </c>
      <c r="C6" s="143" t="s">
        <v>135</v>
      </c>
      <c r="D6" s="144"/>
      <c r="E6" s="120"/>
      <c r="F6" s="121"/>
      <c r="G6" s="122"/>
      <c r="I6" s="37" t="s">
        <v>75</v>
      </c>
    </row>
    <row r="7" spans="2:11">
      <c r="B7" s="5" t="s">
        <v>136</v>
      </c>
      <c r="C7" s="143">
        <v>1</v>
      </c>
      <c r="D7" s="144"/>
      <c r="E7" s="120"/>
      <c r="F7" s="121"/>
      <c r="G7" s="122"/>
      <c r="I7" s="37"/>
    </row>
    <row r="8" spans="2:11">
      <c r="B8" s="3" t="s">
        <v>0</v>
      </c>
      <c r="C8" s="154" t="s">
        <v>124</v>
      </c>
      <c r="D8" s="155"/>
      <c r="E8" s="117"/>
      <c r="F8" s="118"/>
      <c r="G8" s="119"/>
      <c r="H8" s="1"/>
    </row>
    <row r="9" spans="2:11">
      <c r="B9" s="3" t="s">
        <v>1</v>
      </c>
      <c r="C9" s="131">
        <v>0</v>
      </c>
      <c r="D9" s="132"/>
      <c r="E9" s="120"/>
      <c r="F9" s="121"/>
      <c r="G9" s="122"/>
    </row>
    <row r="10" spans="2:11">
      <c r="B10" s="3" t="s">
        <v>2</v>
      </c>
      <c r="C10" s="131">
        <v>0</v>
      </c>
      <c r="D10" s="132"/>
      <c r="E10" s="120"/>
      <c r="F10" s="121"/>
      <c r="G10" s="122"/>
    </row>
    <row r="11" spans="2:11">
      <c r="B11" s="141" t="s">
        <v>3</v>
      </c>
      <c r="C11" s="145"/>
      <c r="D11" s="142"/>
      <c r="E11" s="120"/>
      <c r="F11" s="121"/>
      <c r="G11" s="122"/>
    </row>
    <row r="12" spans="2:11">
      <c r="B12" s="4" t="s">
        <v>4</v>
      </c>
      <c r="C12" s="131">
        <v>1.7</v>
      </c>
      <c r="D12" s="132"/>
      <c r="E12" s="124" t="s">
        <v>118</v>
      </c>
      <c r="F12" s="125"/>
      <c r="G12" s="126"/>
      <c r="K12" s="7"/>
    </row>
    <row r="13" spans="2:11">
      <c r="B13" s="9" t="s">
        <v>116</v>
      </c>
      <c r="C13" s="129">
        <f>IF(E16=1,INT(C12/C20),IF(E16=2,INT((C12-0.2)/C20),INT((C12-0.27)/C20)))</f>
        <v>10</v>
      </c>
      <c r="D13" s="130"/>
      <c r="E13" s="124" t="s">
        <v>25</v>
      </c>
      <c r="F13" s="125"/>
      <c r="G13" s="126"/>
      <c r="H13" s="1" t="s">
        <v>77</v>
      </c>
      <c r="I13" t="s">
        <v>79</v>
      </c>
      <c r="K13" s="40"/>
    </row>
    <row r="14" spans="2:11">
      <c r="B14" s="10" t="s">
        <v>26</v>
      </c>
      <c r="C14" s="129">
        <f>INT((C13-1)/2)+1</f>
        <v>5</v>
      </c>
      <c r="D14" s="130"/>
      <c r="E14" s="124" t="s">
        <v>25</v>
      </c>
      <c r="F14" s="125"/>
      <c r="G14" s="126"/>
      <c r="H14" s="1" t="s">
        <v>77</v>
      </c>
      <c r="I14" s="41" t="s">
        <v>79</v>
      </c>
      <c r="K14" s="7"/>
    </row>
    <row r="15" spans="2:11">
      <c r="B15" s="10" t="s">
        <v>27</v>
      </c>
      <c r="C15" s="129">
        <f>INT(C13/2)</f>
        <v>5</v>
      </c>
      <c r="D15" s="130"/>
      <c r="E15" s="124" t="s">
        <v>25</v>
      </c>
      <c r="F15" s="125"/>
      <c r="G15" s="126"/>
      <c r="H15" s="1" t="s">
        <v>77</v>
      </c>
      <c r="I15" s="41" t="s">
        <v>79</v>
      </c>
      <c r="K15" s="7"/>
    </row>
    <row r="16" spans="2:11">
      <c r="B16" s="5" t="s">
        <v>117</v>
      </c>
      <c r="C16" s="156" t="str">
        <f>IF(E16=1,"標準型",IF(E16=2,"枕木付きﾕﾆｯﾄ","横木+３面挽き材"))</f>
        <v>標準型</v>
      </c>
      <c r="D16" s="157"/>
      <c r="E16" s="39">
        <v>1</v>
      </c>
      <c r="F16" s="127" t="s">
        <v>121</v>
      </c>
      <c r="G16" s="128"/>
      <c r="H16" s="1" t="s">
        <v>77</v>
      </c>
      <c r="I16" t="s">
        <v>76</v>
      </c>
      <c r="K16" s="7"/>
    </row>
    <row r="17" spans="2:10">
      <c r="B17" s="4" t="s">
        <v>5</v>
      </c>
      <c r="C17" s="131">
        <v>1.8</v>
      </c>
      <c r="D17" s="132"/>
      <c r="E17" s="124" t="s">
        <v>17</v>
      </c>
      <c r="F17" s="125"/>
      <c r="G17" s="126"/>
    </row>
    <row r="18" spans="2:10">
      <c r="B18" s="5" t="s">
        <v>8</v>
      </c>
      <c r="C18" s="131">
        <v>0.49</v>
      </c>
      <c r="D18" s="132"/>
      <c r="E18" s="124" t="s">
        <v>17</v>
      </c>
      <c r="F18" s="125"/>
      <c r="G18" s="126"/>
    </row>
    <row r="19" spans="2:10">
      <c r="B19" s="5" t="s">
        <v>20</v>
      </c>
      <c r="C19" s="158">
        <v>0.2</v>
      </c>
      <c r="D19" s="159"/>
      <c r="E19" s="124" t="s">
        <v>17</v>
      </c>
      <c r="F19" s="125"/>
      <c r="G19" s="126"/>
    </row>
    <row r="20" spans="2:10">
      <c r="B20" s="5" t="s">
        <v>21</v>
      </c>
      <c r="C20" s="131">
        <v>0.17</v>
      </c>
      <c r="D20" s="132"/>
      <c r="E20" s="124" t="s">
        <v>17</v>
      </c>
      <c r="F20" s="125"/>
      <c r="G20" s="126"/>
    </row>
    <row r="21" spans="2:10">
      <c r="B21" s="3" t="s">
        <v>6</v>
      </c>
      <c r="C21" s="133">
        <v>11.8</v>
      </c>
      <c r="D21" s="134"/>
      <c r="E21" s="124" t="s">
        <v>127</v>
      </c>
      <c r="F21" s="125"/>
      <c r="G21" s="126"/>
    </row>
    <row r="22" spans="2:10">
      <c r="B22" s="3" t="s">
        <v>60</v>
      </c>
      <c r="C22" s="133">
        <v>18</v>
      </c>
      <c r="D22" s="134"/>
      <c r="E22" s="124" t="s">
        <v>127</v>
      </c>
      <c r="F22" s="125"/>
      <c r="G22" s="126"/>
    </row>
    <row r="23" spans="2:10">
      <c r="B23" s="3" t="s">
        <v>7</v>
      </c>
      <c r="C23" s="133">
        <v>7.8</v>
      </c>
      <c r="D23" s="134"/>
      <c r="E23" s="124" t="s">
        <v>127</v>
      </c>
      <c r="F23" s="125"/>
      <c r="G23" s="126"/>
    </row>
    <row r="24" spans="2:10">
      <c r="B24" s="3" t="s">
        <v>9</v>
      </c>
      <c r="C24" s="133">
        <v>0.5</v>
      </c>
      <c r="D24" s="134"/>
      <c r="E24" s="151"/>
      <c r="F24" s="152"/>
      <c r="G24" s="153"/>
      <c r="J24" s="2"/>
    </row>
    <row r="25" spans="2:10">
      <c r="B25" s="3" t="s">
        <v>10</v>
      </c>
      <c r="C25" s="137">
        <v>0.33300000000000002</v>
      </c>
      <c r="D25" s="138"/>
      <c r="E25" s="148"/>
      <c r="F25" s="149"/>
      <c r="G25" s="150"/>
    </row>
    <row r="26" spans="2:10">
      <c r="B26" s="3" t="s">
        <v>115</v>
      </c>
      <c r="C26" s="146">
        <f>IF(E26=1,30,IF(E26=2,35,40))</f>
        <v>35</v>
      </c>
      <c r="D26" s="147"/>
      <c r="E26" s="38">
        <v>2</v>
      </c>
      <c r="F26" s="124" t="s">
        <v>114</v>
      </c>
      <c r="G26" s="126"/>
      <c r="H26" s="1" t="s">
        <v>77</v>
      </c>
      <c r="I26" t="s">
        <v>76</v>
      </c>
    </row>
    <row r="27" spans="2:10">
      <c r="B27" s="3" t="s">
        <v>58</v>
      </c>
      <c r="C27" s="133">
        <v>1</v>
      </c>
      <c r="D27" s="134"/>
      <c r="E27" s="151"/>
      <c r="F27" s="152"/>
      <c r="G27" s="153"/>
    </row>
    <row r="28" spans="2:10">
      <c r="B28" s="3" t="s">
        <v>59</v>
      </c>
      <c r="C28" s="133">
        <v>1.2</v>
      </c>
      <c r="D28" s="134"/>
      <c r="E28" s="151"/>
      <c r="F28" s="152"/>
      <c r="G28" s="153"/>
    </row>
    <row r="29" spans="2:10">
      <c r="B29" s="3" t="s">
        <v>12</v>
      </c>
      <c r="C29" s="135">
        <v>200</v>
      </c>
      <c r="D29" s="136"/>
      <c r="E29" s="124" t="s">
        <v>128</v>
      </c>
      <c r="F29" s="125"/>
      <c r="G29" s="126"/>
    </row>
    <row r="30" spans="2:10">
      <c r="B30" s="3" t="s">
        <v>53</v>
      </c>
      <c r="C30" s="133">
        <f>体積計算シート!I53</f>
        <v>15.45</v>
      </c>
      <c r="D30" s="134"/>
      <c r="E30" s="124" t="s">
        <v>54</v>
      </c>
      <c r="F30" s="125"/>
      <c r="G30" s="126"/>
    </row>
    <row r="31" spans="2:10">
      <c r="C31" s="1"/>
      <c r="D31" s="1"/>
      <c r="E31" s="1"/>
      <c r="F31" s="123"/>
      <c r="G31" s="123"/>
    </row>
    <row r="32" spans="2:10">
      <c r="F32" s="123"/>
      <c r="G32" s="123"/>
    </row>
    <row r="33" spans="6:7">
      <c r="F33" s="123"/>
      <c r="G33" s="123"/>
    </row>
  </sheetData>
  <mergeCells count="58">
    <mergeCell ref="C7:D7"/>
    <mergeCell ref="E7:G7"/>
    <mergeCell ref="C8:D8"/>
    <mergeCell ref="E28:G28"/>
    <mergeCell ref="E29:G29"/>
    <mergeCell ref="E17:G17"/>
    <mergeCell ref="E18:G18"/>
    <mergeCell ref="E19:G19"/>
    <mergeCell ref="E20:G20"/>
    <mergeCell ref="E11:G11"/>
    <mergeCell ref="E12:G12"/>
    <mergeCell ref="C16:D16"/>
    <mergeCell ref="C27:D27"/>
    <mergeCell ref="C28:D28"/>
    <mergeCell ref="C19:D19"/>
    <mergeCell ref="F26:G26"/>
    <mergeCell ref="C26:D26"/>
    <mergeCell ref="C9:D9"/>
    <mergeCell ref="C10:D10"/>
    <mergeCell ref="C12:D12"/>
    <mergeCell ref="C13:D13"/>
    <mergeCell ref="B11:D11"/>
    <mergeCell ref="B2:G2"/>
    <mergeCell ref="C4:D4"/>
    <mergeCell ref="C5:D5"/>
    <mergeCell ref="C6:D6"/>
    <mergeCell ref="E4:G4"/>
    <mergeCell ref="E5:G5"/>
    <mergeCell ref="E6:G6"/>
    <mergeCell ref="F33:G33"/>
    <mergeCell ref="F31:G31"/>
    <mergeCell ref="C14:D14"/>
    <mergeCell ref="C15:D15"/>
    <mergeCell ref="C17:D17"/>
    <mergeCell ref="C18:D18"/>
    <mergeCell ref="E15:G15"/>
    <mergeCell ref="C30:D30"/>
    <mergeCell ref="C29:D29"/>
    <mergeCell ref="C23:D23"/>
    <mergeCell ref="C24:D24"/>
    <mergeCell ref="C25:D25"/>
    <mergeCell ref="E14:G14"/>
    <mergeCell ref="C21:D21"/>
    <mergeCell ref="C22:D22"/>
    <mergeCell ref="C20:D20"/>
    <mergeCell ref="E8:G8"/>
    <mergeCell ref="E9:G9"/>
    <mergeCell ref="E10:G10"/>
    <mergeCell ref="F32:G32"/>
    <mergeCell ref="E30:G30"/>
    <mergeCell ref="F16:G16"/>
    <mergeCell ref="E13:G13"/>
    <mergeCell ref="E25:G25"/>
    <mergeCell ref="E27:G27"/>
    <mergeCell ref="E21:G21"/>
    <mergeCell ref="E22:G22"/>
    <mergeCell ref="E23:G23"/>
    <mergeCell ref="E24:G24"/>
  </mergeCells>
  <phoneticPr fontId="2"/>
  <pageMargins left="0.99" right="0.67" top="0.98399999999999999" bottom="0.98399999999999999" header="0.51200000000000001" footer="0.51200000000000001"/>
  <pageSetup paperSize="9" orientation="portrait" r:id="rId1"/>
  <headerFooter alignWithMargins="0"/>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3"/>
  <sheetViews>
    <sheetView view="pageBreakPreview" zoomScale="75" zoomScaleNormal="100" workbookViewId="0">
      <selection activeCell="H4" sqref="H4"/>
    </sheetView>
  </sheetViews>
  <sheetFormatPr defaultRowHeight="13.5"/>
  <cols>
    <col min="1" max="1" width="4.125" style="26" customWidth="1"/>
    <col min="2" max="2" width="15.125" style="26" customWidth="1"/>
    <col min="3" max="3" width="6.875" style="26" customWidth="1"/>
    <col min="4" max="4" width="11.75" style="26" customWidth="1"/>
    <col min="5" max="5" width="9.125" style="26" customWidth="1"/>
    <col min="6" max="6" width="12.5" style="26" customWidth="1"/>
    <col min="7" max="7" width="7.625" style="26" customWidth="1"/>
    <col min="8" max="8" width="19.75" style="26" customWidth="1"/>
    <col min="9" max="9" width="16.25" style="26" customWidth="1"/>
    <col min="10" max="16384" width="9" style="26"/>
  </cols>
  <sheetData>
    <row r="2" spans="2:9" ht="24">
      <c r="B2" s="183" t="s">
        <v>72</v>
      </c>
      <c r="C2" s="183"/>
      <c r="D2" s="183"/>
      <c r="E2" s="183"/>
      <c r="F2" s="183"/>
      <c r="G2" s="183"/>
      <c r="H2" s="183"/>
      <c r="I2" s="183"/>
    </row>
    <row r="4" spans="2:9">
      <c r="B4" s="42" t="s">
        <v>73</v>
      </c>
      <c r="C4" s="43" t="str">
        <f>"      "&amp;'入力シート（ここ以外触らないこと）'!$C$5&amp;"    "&amp;"  "&amp;'入力シート（ここ以外触らないこと）'!$C$6&amp;"  地内  "</f>
        <v xml:space="preserve">      ○○市      ○○地内  地内  </v>
      </c>
      <c r="D4" s="43"/>
      <c r="E4" s="43"/>
      <c r="H4" s="44" t="str">
        <f>"("&amp;'入力シート（ここ以外触らないこと）'!C8&amp;")"</f>
        <v>(台形型)</v>
      </c>
      <c r="I4" s="26" t="s">
        <v>133</v>
      </c>
    </row>
    <row r="6" spans="2:9" ht="15" customHeight="1">
      <c r="B6" s="169" t="s">
        <v>80</v>
      </c>
      <c r="C6" s="169"/>
      <c r="D6" s="169"/>
      <c r="E6" s="160" t="str">
        <f>'入力シート（ここ以外触らないこと）'!C8</f>
        <v>台形型</v>
      </c>
      <c r="F6" s="162"/>
      <c r="G6" s="160"/>
      <c r="H6" s="161"/>
      <c r="I6" s="162"/>
    </row>
    <row r="7" spans="2:9" ht="15" customHeight="1">
      <c r="B7" s="169" t="s">
        <v>1</v>
      </c>
      <c r="C7" s="169"/>
      <c r="D7" s="169"/>
      <c r="E7" s="45" t="s">
        <v>81</v>
      </c>
      <c r="F7" s="46">
        <f>'入力シート（ここ以外触らないこと）'!C9</f>
        <v>0</v>
      </c>
      <c r="G7" s="160"/>
      <c r="H7" s="161"/>
      <c r="I7" s="162"/>
    </row>
    <row r="8" spans="2:9" ht="15" customHeight="1">
      <c r="B8" s="169" t="s">
        <v>2</v>
      </c>
      <c r="C8" s="169"/>
      <c r="D8" s="169"/>
      <c r="E8" s="45" t="s">
        <v>82</v>
      </c>
      <c r="F8" s="46">
        <f>'入力シート（ここ以外触らないこと）'!C10</f>
        <v>0</v>
      </c>
      <c r="G8" s="160"/>
      <c r="H8" s="161"/>
      <c r="I8" s="162"/>
    </row>
    <row r="9" spans="2:9" ht="15" customHeight="1">
      <c r="B9" s="178" t="s">
        <v>3</v>
      </c>
      <c r="C9" s="179"/>
      <c r="D9" s="179"/>
      <c r="E9" s="179"/>
      <c r="F9" s="180"/>
      <c r="G9" s="160"/>
      <c r="H9" s="161"/>
      <c r="I9" s="162"/>
    </row>
    <row r="10" spans="2:9" ht="15" customHeight="1">
      <c r="B10" s="177" t="s">
        <v>4</v>
      </c>
      <c r="C10" s="177"/>
      <c r="D10" s="177"/>
      <c r="E10" s="47" t="s">
        <v>83</v>
      </c>
      <c r="F10" s="48">
        <f>'入力シート（ここ以外触らないこと）'!C12</f>
        <v>1.7</v>
      </c>
      <c r="G10" s="187" t="s">
        <v>17</v>
      </c>
      <c r="H10" s="188"/>
      <c r="I10" s="189"/>
    </row>
    <row r="11" spans="2:9" ht="15" customHeight="1">
      <c r="B11" s="176" t="s">
        <v>24</v>
      </c>
      <c r="C11" s="176"/>
      <c r="D11" s="176"/>
      <c r="E11" s="49"/>
      <c r="F11" s="50">
        <f>'入力シート（ここ以外触らないこと）'!C13</f>
        <v>10</v>
      </c>
      <c r="G11" s="163" t="s">
        <v>25</v>
      </c>
      <c r="H11" s="164"/>
      <c r="I11" s="165"/>
    </row>
    <row r="12" spans="2:9" ht="15" customHeight="1">
      <c r="B12" s="181" t="s">
        <v>26</v>
      </c>
      <c r="C12" s="181"/>
      <c r="D12" s="181"/>
      <c r="E12" s="49"/>
      <c r="F12" s="50">
        <f>'入力シート（ここ以外触らないこと）'!C14</f>
        <v>5</v>
      </c>
      <c r="G12" s="163" t="s">
        <v>25</v>
      </c>
      <c r="H12" s="164"/>
      <c r="I12" s="165"/>
    </row>
    <row r="13" spans="2:9" ht="15" customHeight="1">
      <c r="B13" s="182" t="s">
        <v>27</v>
      </c>
      <c r="C13" s="182"/>
      <c r="D13" s="182"/>
      <c r="E13" s="51"/>
      <c r="F13" s="52">
        <f>'入力シート（ここ以外触らないこと）'!C15</f>
        <v>5</v>
      </c>
      <c r="G13" s="166" t="s">
        <v>25</v>
      </c>
      <c r="H13" s="167"/>
      <c r="I13" s="168"/>
    </row>
    <row r="14" spans="2:9" ht="15" customHeight="1">
      <c r="B14" s="169" t="s">
        <v>5</v>
      </c>
      <c r="C14" s="169"/>
      <c r="D14" s="169"/>
      <c r="E14" s="45" t="s">
        <v>84</v>
      </c>
      <c r="F14" s="46">
        <f>'入力シート（ここ以外触らないこと）'!C17</f>
        <v>1.8</v>
      </c>
      <c r="G14" s="160" t="s">
        <v>17</v>
      </c>
      <c r="H14" s="161"/>
      <c r="I14" s="162"/>
    </row>
    <row r="15" spans="2:9" ht="15" customHeight="1">
      <c r="B15" s="169" t="s">
        <v>8</v>
      </c>
      <c r="C15" s="169"/>
      <c r="D15" s="169"/>
      <c r="E15" s="45" t="s">
        <v>85</v>
      </c>
      <c r="F15" s="46">
        <f>'入力シート（ここ以外触らないこと）'!C18</f>
        <v>0.49</v>
      </c>
      <c r="G15" s="160" t="s">
        <v>17</v>
      </c>
      <c r="H15" s="161"/>
      <c r="I15" s="162"/>
    </row>
    <row r="16" spans="2:9" ht="15" customHeight="1">
      <c r="B16" s="169" t="s">
        <v>20</v>
      </c>
      <c r="C16" s="169"/>
      <c r="D16" s="169"/>
      <c r="E16" s="45" t="s">
        <v>86</v>
      </c>
      <c r="F16" s="90">
        <f>'入力シート（ここ以外触らないこと）'!C19</f>
        <v>0.2</v>
      </c>
      <c r="G16" s="160" t="s">
        <v>17</v>
      </c>
      <c r="H16" s="161"/>
      <c r="I16" s="162"/>
    </row>
    <row r="17" spans="2:9" ht="15" customHeight="1">
      <c r="B17" s="169" t="s">
        <v>21</v>
      </c>
      <c r="C17" s="169"/>
      <c r="D17" s="169"/>
      <c r="E17" s="45" t="s">
        <v>87</v>
      </c>
      <c r="F17" s="46">
        <f>'入力シート（ここ以外触らないこと）'!C20</f>
        <v>0.17</v>
      </c>
      <c r="G17" s="160" t="s">
        <v>17</v>
      </c>
      <c r="H17" s="161"/>
      <c r="I17" s="162"/>
    </row>
    <row r="18" spans="2:9" ht="15" customHeight="1">
      <c r="B18" s="169" t="s">
        <v>6</v>
      </c>
      <c r="C18" s="169"/>
      <c r="D18" s="169"/>
      <c r="E18" s="45" t="s">
        <v>88</v>
      </c>
      <c r="F18" s="53">
        <f>'入力シート（ここ以外触らないこと）'!C21</f>
        <v>11.8</v>
      </c>
      <c r="G18" s="160" t="s">
        <v>127</v>
      </c>
      <c r="H18" s="161"/>
      <c r="I18" s="162"/>
    </row>
    <row r="19" spans="2:9" ht="15" customHeight="1">
      <c r="B19" s="169" t="s">
        <v>60</v>
      </c>
      <c r="C19" s="169"/>
      <c r="D19" s="169"/>
      <c r="E19" s="45" t="s">
        <v>89</v>
      </c>
      <c r="F19" s="53">
        <f>'入力シート（ここ以外触らないこと）'!C22</f>
        <v>18</v>
      </c>
      <c r="G19" s="160" t="s">
        <v>127</v>
      </c>
      <c r="H19" s="161"/>
      <c r="I19" s="162"/>
    </row>
    <row r="20" spans="2:9" ht="15" customHeight="1">
      <c r="B20" s="169" t="s">
        <v>7</v>
      </c>
      <c r="C20" s="169"/>
      <c r="D20" s="169"/>
      <c r="E20" s="45" t="s">
        <v>90</v>
      </c>
      <c r="F20" s="53">
        <f>'入力シート（ここ以外触らないこと）'!C23</f>
        <v>7.8</v>
      </c>
      <c r="G20" s="160" t="s">
        <v>127</v>
      </c>
      <c r="H20" s="161"/>
      <c r="I20" s="162"/>
    </row>
    <row r="21" spans="2:9" ht="15" customHeight="1">
      <c r="B21" s="169" t="s">
        <v>9</v>
      </c>
      <c r="C21" s="169"/>
      <c r="D21" s="169"/>
      <c r="E21" s="45" t="s">
        <v>91</v>
      </c>
      <c r="F21" s="53">
        <f>'入力シート（ここ以外触らないこと）'!C24</f>
        <v>0.5</v>
      </c>
      <c r="G21" s="160"/>
      <c r="H21" s="161"/>
      <c r="I21" s="162"/>
    </row>
    <row r="22" spans="2:9" ht="15" customHeight="1">
      <c r="B22" s="169" t="s">
        <v>10</v>
      </c>
      <c r="C22" s="169"/>
      <c r="D22" s="169"/>
      <c r="E22" s="45" t="s">
        <v>92</v>
      </c>
      <c r="F22" s="54">
        <f>'入力シート（ここ以外触らないこと）'!C25</f>
        <v>0.33300000000000002</v>
      </c>
      <c r="G22" s="160"/>
      <c r="H22" s="161"/>
      <c r="I22" s="162"/>
    </row>
    <row r="23" spans="2:9" ht="15" customHeight="1">
      <c r="B23" s="169" t="s">
        <v>11</v>
      </c>
      <c r="C23" s="169"/>
      <c r="D23" s="169"/>
      <c r="E23" s="45" t="s">
        <v>93</v>
      </c>
      <c r="F23" s="55">
        <f>'入力シート（ここ以外触らないこと）'!C26</f>
        <v>35</v>
      </c>
      <c r="G23" s="160" t="s">
        <v>18</v>
      </c>
      <c r="H23" s="172"/>
      <c r="I23" s="173"/>
    </row>
    <row r="24" spans="2:9" ht="15" customHeight="1">
      <c r="B24" s="169" t="s">
        <v>58</v>
      </c>
      <c r="C24" s="169"/>
      <c r="D24" s="169"/>
      <c r="E24" s="45" t="s">
        <v>94</v>
      </c>
      <c r="F24" s="53">
        <f>'入力シート（ここ以外触らないこと）'!C27</f>
        <v>1</v>
      </c>
      <c r="G24" s="160"/>
      <c r="H24" s="161"/>
      <c r="I24" s="162"/>
    </row>
    <row r="25" spans="2:9" ht="15" customHeight="1">
      <c r="B25" s="169" t="s">
        <v>59</v>
      </c>
      <c r="C25" s="169"/>
      <c r="D25" s="169"/>
      <c r="E25" s="45" t="s">
        <v>95</v>
      </c>
      <c r="F25" s="53">
        <f>'入力シート（ここ以外触らないこと）'!C28</f>
        <v>1.2</v>
      </c>
      <c r="G25" s="160"/>
      <c r="H25" s="161"/>
      <c r="I25" s="162"/>
    </row>
    <row r="26" spans="2:9" ht="15" customHeight="1">
      <c r="B26" s="169" t="s">
        <v>12</v>
      </c>
      <c r="C26" s="169"/>
      <c r="D26" s="169"/>
      <c r="E26" s="45" t="s">
        <v>96</v>
      </c>
      <c r="F26" s="55">
        <f>'入力シート（ここ以外触らないこと）'!C29</f>
        <v>200</v>
      </c>
      <c r="G26" s="160" t="s">
        <v>128</v>
      </c>
      <c r="H26" s="161"/>
      <c r="I26" s="162"/>
    </row>
    <row r="27" spans="2:9" ht="15" customHeight="1">
      <c r="B27" s="169" t="s">
        <v>53</v>
      </c>
      <c r="C27" s="169"/>
      <c r="D27" s="169"/>
      <c r="E27" s="45" t="s">
        <v>97</v>
      </c>
      <c r="F27" s="53">
        <f>'入力シート（ここ以外触らないこと）'!C30</f>
        <v>15.45</v>
      </c>
      <c r="G27" s="160" t="s">
        <v>54</v>
      </c>
      <c r="H27" s="161"/>
      <c r="I27" s="162"/>
    </row>
    <row r="28" spans="2:9" ht="15" customHeight="1">
      <c r="B28" s="82"/>
      <c r="C28" s="82"/>
      <c r="D28" s="82"/>
      <c r="E28" s="81"/>
      <c r="F28" s="88"/>
      <c r="G28" s="81"/>
      <c r="H28" s="81"/>
      <c r="I28" s="81"/>
    </row>
    <row r="29" spans="2:9" ht="15" customHeight="1">
      <c r="B29" s="82"/>
      <c r="C29" s="82"/>
      <c r="D29" s="82"/>
      <c r="E29" s="81"/>
      <c r="F29" s="88"/>
      <c r="G29" s="81"/>
      <c r="H29" s="81"/>
      <c r="I29" s="81"/>
    </row>
    <row r="32" spans="2:9" ht="24">
      <c r="B32" s="183" t="s">
        <v>19</v>
      </c>
      <c r="C32" s="183"/>
      <c r="D32" s="183"/>
      <c r="E32" s="183"/>
      <c r="F32" s="183"/>
      <c r="G32" s="183"/>
      <c r="H32" s="183"/>
      <c r="I32" s="186"/>
    </row>
    <row r="33" spans="2:12" ht="17.25" customHeight="1">
      <c r="B33" s="77"/>
      <c r="C33" s="77"/>
      <c r="D33" s="77"/>
      <c r="E33" s="77"/>
      <c r="F33" s="77"/>
      <c r="G33" s="77"/>
      <c r="H33" s="77"/>
      <c r="I33" s="89"/>
    </row>
    <row r="35" spans="2:12" ht="17.25">
      <c r="B35" s="57" t="s">
        <v>113</v>
      </c>
      <c r="C35" s="58">
        <v>6</v>
      </c>
      <c r="D35" s="58" t="s">
        <v>107</v>
      </c>
      <c r="G35" s="58">
        <v>6</v>
      </c>
      <c r="H35" s="58" t="s">
        <v>106</v>
      </c>
    </row>
    <row r="36" spans="2:12">
      <c r="L36" s="59"/>
    </row>
    <row r="37" spans="2:12" ht="18.95" customHeight="1">
      <c r="B37" s="60" t="s">
        <v>22</v>
      </c>
      <c r="C37" s="184" t="str">
        <f>" (換算長)×h×b = "&amp;FIXED(C35,2)&amp;"×"&amp;FIXED('入力シート（ここ以外触らないこと）'!C12,2)&amp;"×"&amp;FIXED('入力シート（ここ以外触らないこと）'!C17,2)&amp;"="</f>
        <v xml:space="preserve"> (換算長)×h×b = 6.00×1.70×1.80=</v>
      </c>
      <c r="D37" s="185"/>
      <c r="E37" s="185"/>
      <c r="F37" s="185"/>
      <c r="G37" s="62">
        <f>C35*'入力シート（ここ以外触らないこと）'!C12*'入力シート（ここ以外触らないこと）'!C17</f>
        <v>18.36</v>
      </c>
      <c r="H37" s="62" t="s">
        <v>108</v>
      </c>
      <c r="I37" s="63"/>
    </row>
    <row r="38" spans="2:12" ht="18.95" customHeight="1">
      <c r="B38" s="60" t="s">
        <v>110</v>
      </c>
      <c r="C38" s="64"/>
      <c r="D38" s="62"/>
      <c r="E38" s="62"/>
      <c r="F38" s="62"/>
      <c r="G38" s="62"/>
      <c r="H38" s="62"/>
      <c r="I38" s="79"/>
    </row>
    <row r="39" spans="2:12" ht="18.95" customHeight="1">
      <c r="B39" s="83" t="s">
        <v>23</v>
      </c>
      <c r="C39" s="69"/>
      <c r="D39" s="70"/>
      <c r="E39" s="70"/>
      <c r="F39" s="70"/>
      <c r="G39" s="70"/>
      <c r="H39" s="70"/>
      <c r="I39" s="68"/>
    </row>
    <row r="40" spans="2:12" ht="18.95" customHeight="1">
      <c r="B40" s="85" t="s">
        <v>102</v>
      </c>
      <c r="C40" s="66" t="str">
        <f>" cosθ=(太鼓材半径)/(木材半径)= ("&amp;'入力シート（ここ以外触らないこと）'!C20&amp;"/2"&amp;")"&amp;"/("&amp;'入力シート（ここ以外触らないこと）'!C19&amp;"/2)"&amp;" ="</f>
        <v xml:space="preserve"> cosθ=(太鼓材半径)/(木材半径)= (0.17/2)/(0.2/2) =</v>
      </c>
      <c r="D40" s="67"/>
      <c r="E40" s="67"/>
      <c r="I40" s="97">
        <f>ROUND(('入力シート（ここ以外触らないこと）'!C20/2)/('入力シート（ここ以外触らないこと）'!C19/2),2)</f>
        <v>0.85</v>
      </c>
    </row>
    <row r="41" spans="2:12" ht="18.95" customHeight="1">
      <c r="B41" s="84"/>
      <c r="C41" s="71" t="s">
        <v>103</v>
      </c>
      <c r="D41" s="95">
        <f>ROUND(ACOS(I40)*180/PI(),0)</f>
        <v>32</v>
      </c>
      <c r="E41" s="73" t="s">
        <v>98</v>
      </c>
      <c r="F41" s="73"/>
      <c r="G41" s="73"/>
      <c r="H41" s="73"/>
      <c r="I41" s="74"/>
    </row>
    <row r="42" spans="2:12" ht="18.95" customHeight="1">
      <c r="B42" s="65"/>
      <c r="C42" s="66" t="s">
        <v>105</v>
      </c>
      <c r="D42" s="80"/>
      <c r="E42" s="67"/>
      <c r="F42" s="67"/>
      <c r="G42" s="67"/>
      <c r="H42" s="67"/>
      <c r="I42" s="68"/>
    </row>
    <row r="43" spans="2:12" ht="18.95" customHeight="1">
      <c r="B43" s="65"/>
      <c r="C43" s="66" t="str">
        <f>" =((360-4×"&amp;D41&amp;")/360)×3.14×("&amp;'入力シート（ここ以外触らないこと）'!C19&amp;"/2)^2+("&amp;'入力シート（ここ以外触らないこと）'!C19&amp;"/2)＾2*sin(2×"&amp;D41&amp;")"</f>
        <v xml:space="preserve"> =((360-4×32)/360)×3.14×(0.2/2)^2+(0.2/2)＾2*sin(2×32)</v>
      </c>
      <c r="D43" s="67"/>
      <c r="E43" s="67"/>
      <c r="F43" s="67"/>
      <c r="G43" s="67"/>
      <c r="H43" s="67"/>
      <c r="I43" s="68"/>
    </row>
    <row r="44" spans="2:12" ht="18.95" customHeight="1">
      <c r="B44" s="84"/>
      <c r="C44" s="71" t="s">
        <v>104</v>
      </c>
      <c r="D44" s="72">
        <f>((360-4*D41)/360)*3.14*('入力シート（ここ以外触らないこと）'!C19/2)^2+('入力シート（ここ以外触らないこと）'!C19/2)^2*SIN(2*D41*PI()/180)</f>
        <v>2.9223496018547235E-2</v>
      </c>
      <c r="E44" s="75" t="s">
        <v>99</v>
      </c>
      <c r="F44" s="72">
        <f>INT(D44*1000)/1000</f>
        <v>2.9000000000000001E-2</v>
      </c>
      <c r="G44" s="73" t="s">
        <v>109</v>
      </c>
      <c r="H44" s="73"/>
      <c r="I44" s="74"/>
    </row>
    <row r="45" spans="2:12" ht="18.95" customHeight="1">
      <c r="B45" s="65" t="s">
        <v>119</v>
      </c>
      <c r="C45" s="26" t="str">
        <f>" Ｖw1 = Ａ×[{(換算長)×(横段数)×(上下流分)}+{(幅)×(縦段数)×(区間本数)}"</f>
        <v xml:space="preserve"> Ｖw1 = Ａ×[{(換算長)×(横段数)×(上下流分)}+{(幅)×(縦段数)×(区間本数)}</v>
      </c>
      <c r="H45" s="67"/>
      <c r="I45" s="68"/>
    </row>
    <row r="46" spans="2:12" ht="18.95" customHeight="1">
      <c r="B46" s="91"/>
      <c r="C46" s="92" t="str">
        <f>" ="&amp;F44&amp;"*{(6.0*"&amp;'入力シート（ここ以外触らないこと）'!C14&amp;"*2)+("&amp;'入力シート（ここ以外触らないこと）'!C17&amp;"*"&amp;'入力シート（ここ以外触らないこと）'!C15&amp;"*6)} = "</f>
        <v xml:space="preserve"> =0.029*{(6.0*5*2)+(1.8*5*6)} = </v>
      </c>
      <c r="D46" s="93"/>
      <c r="E46" s="93"/>
      <c r="F46" s="93"/>
      <c r="G46" s="93"/>
      <c r="H46" s="93">
        <f>ROUND(F44*((6*'入力シート（ここ以外触らないこと）'!C14*2)+('入力シート（ここ以外触らないこと）'!C17*'入力シート（ここ以外触らないこと）'!C15*6)),3)</f>
        <v>3.306</v>
      </c>
      <c r="I46" s="94" t="s">
        <v>112</v>
      </c>
    </row>
    <row r="47" spans="2:12" ht="18.95" customHeight="1">
      <c r="B47" s="65" t="s">
        <v>120</v>
      </c>
      <c r="C47" s="26" t="str">
        <f>" Ｖw2 ="&amp;IF('入力シート（ここ以外触らないこと）'!E16=1,"(断面積×長さ×（天端に並べる総本数-本体構造に含まれる縦木本数）",IF('入力シート（ここ以外触らないこと）'!E16=2,"（三面挽き材の断面積×長さ×本数）+（枕木の断面積×長さ）","（横木の断面積×長さ×本数）＋（三面挽き材の断面積×長さ×本数）"))&amp;""</f>
        <v xml:space="preserve"> Ｖw2 =(断面積×長さ×（天端に並べる総本数-本体構造に含まれる縦木本数）</v>
      </c>
      <c r="D47" s="67"/>
      <c r="E47" s="67"/>
      <c r="F47" s="67"/>
      <c r="G47" s="76"/>
      <c r="H47" s="67"/>
      <c r="I47" s="68"/>
    </row>
    <row r="48" spans="2:12" ht="18.95" customHeight="1">
      <c r="B48" s="91"/>
      <c r="C48" s="96" t="str">
        <f>" ="&amp;IF('入力シート（ここ以外触らないこと）'!E16=2,0.01,F44)&amp;"*"&amp;IF('入力シート（ここ以外触らないこと）'!E16=3,"2.00","1.80")&amp;"*"&amp;IF('入力シート（ここ以外触らないこと）'!E16=1,"((6/0.2)-6)",IF('入力シート（ここ以外触らないこと）'!E16=2,"(6/0.1)+(0.01*(6*2))","(6/2*2)+(0.01*1.80*(6/0.1))"))&amp;"="</f>
        <v xml:space="preserve"> =0.029*1.80*((6/0.2)-6)=</v>
      </c>
      <c r="D48" s="93"/>
      <c r="E48" s="93"/>
      <c r="F48" s="93"/>
      <c r="G48" s="93"/>
      <c r="H48" s="99">
        <f>ROUND(IF('入力シート（ここ以外触らないこと）'!E16=2,0.01,0.029)*IF('入力シート（ここ以外触らないこと）'!E16=3,2,1.8)*IF('入力シート（ここ以外触らないこと）'!E16=1,((6/0.2)-6),IF('入力シート（ここ以外触らないこと）'!E16=2,(6/0.1),6/2*2))+IF('入力シート（ここ以外触らないこと）'!E16=2,0.01*6*2,IF('入力シート（ここ以外触らないこと）'!E16=3,0.01*1.8*6/0.1,0)),2)</f>
        <v>1.25</v>
      </c>
      <c r="I48" s="94" t="s">
        <v>112</v>
      </c>
    </row>
    <row r="49" spans="2:9" ht="18.95" customHeight="1">
      <c r="B49" s="101" t="s">
        <v>122</v>
      </c>
      <c r="C49" s="102" t="str">
        <f>"Ｖw1＋Ｖw2 ＝"&amp;H46&amp;"＋"&amp;H48</f>
        <v>Ｖw1＋Ｖw2 ＝3.306＋1.25</v>
      </c>
      <c r="D49" s="103"/>
      <c r="E49" s="103"/>
      <c r="F49" s="103"/>
      <c r="G49" s="103"/>
      <c r="H49" s="104">
        <f>+H46+H48</f>
        <v>4.556</v>
      </c>
      <c r="I49" s="105" t="s">
        <v>123</v>
      </c>
    </row>
    <row r="50" spans="2:9" ht="18.95" customHeight="1">
      <c r="B50" s="65" t="s">
        <v>111</v>
      </c>
      <c r="C50" s="66" t="str">
        <f>" Ｖr=(堤体本体体積)-(木材の体積)="&amp;G37&amp;"-"&amp;H49&amp;"="</f>
        <v xml:space="preserve"> Ｖr=(堤体本体体積)-(木材の体積)=18.36-4.556=</v>
      </c>
      <c r="D50" s="67"/>
      <c r="F50" s="67"/>
      <c r="H50" s="100">
        <f>G37-H49</f>
        <v>13.803999999999998</v>
      </c>
      <c r="I50" s="98" t="s">
        <v>108</v>
      </c>
    </row>
    <row r="51" spans="2:9" ht="18.95" customHeight="1">
      <c r="B51" s="60" t="s">
        <v>28</v>
      </c>
      <c r="C51" s="174" t="s">
        <v>100</v>
      </c>
      <c r="D51" s="175"/>
      <c r="E51" s="61">
        <f>ROUND(H49/G37,2)</f>
        <v>0.25</v>
      </c>
      <c r="F51" s="61"/>
      <c r="G51" s="62"/>
      <c r="H51" s="62"/>
      <c r="I51" s="68"/>
    </row>
    <row r="52" spans="2:9" ht="18.95" customHeight="1">
      <c r="B52" s="65"/>
      <c r="C52" s="170" t="s">
        <v>101</v>
      </c>
      <c r="D52" s="171"/>
      <c r="E52" s="76">
        <f>ROUND(H50/G37,2)</f>
        <v>0.75</v>
      </c>
      <c r="F52" s="67"/>
      <c r="G52" s="67"/>
      <c r="H52" s="67"/>
      <c r="I52" s="68"/>
    </row>
    <row r="53" spans="2:9" ht="18.95" customHeight="1">
      <c r="B53" s="78" t="s">
        <v>29</v>
      </c>
      <c r="C53" s="86" t="str">
        <f>" (木材比率)×(木材比重)+(中詰比率)×(中詰比重)="&amp;E51&amp;"×"&amp;'入力シート（ここ以外触らないこと）'!C23&amp;"+"&amp;E52&amp;"×"&amp;'入力シート（ここ以外触らないこと）'!C22&amp;"="</f>
        <v xml:space="preserve"> (木材比率)×(木材比重)+(中詰比率)×(中詰比重)=0.25×7.8+0.75×18=</v>
      </c>
      <c r="D53" s="56"/>
      <c r="E53" s="56"/>
      <c r="F53" s="56"/>
      <c r="G53" s="56"/>
      <c r="H53" s="56"/>
      <c r="I53" s="87">
        <f>E51*'入力シート（ここ以外触らないこと）'!C23+体積計算シート!E52*'入力シート（ここ以外触らないこと）'!C22</f>
        <v>15.45</v>
      </c>
    </row>
  </sheetData>
  <mergeCells count="50">
    <mergeCell ref="B32:I32"/>
    <mergeCell ref="G27:I27"/>
    <mergeCell ref="G6:I6"/>
    <mergeCell ref="G7:I7"/>
    <mergeCell ref="G8:I8"/>
    <mergeCell ref="G9:I9"/>
    <mergeCell ref="G10:I10"/>
    <mergeCell ref="G11:I11"/>
    <mergeCell ref="B25:D25"/>
    <mergeCell ref="B26:D26"/>
    <mergeCell ref="B23:D23"/>
    <mergeCell ref="B24:D24"/>
    <mergeCell ref="B17:D17"/>
    <mergeCell ref="B15:D15"/>
    <mergeCell ref="B12:D12"/>
    <mergeCell ref="B13:D13"/>
    <mergeCell ref="B14:D14"/>
    <mergeCell ref="B2:I2"/>
    <mergeCell ref="E6:F6"/>
    <mergeCell ref="B11:D11"/>
    <mergeCell ref="B6:D6"/>
    <mergeCell ref="B7:D7"/>
    <mergeCell ref="B8:D8"/>
    <mergeCell ref="B10:D10"/>
    <mergeCell ref="B9:F9"/>
    <mergeCell ref="B16:D16"/>
    <mergeCell ref="C52:D52"/>
    <mergeCell ref="G21:I21"/>
    <mergeCell ref="G22:I22"/>
    <mergeCell ref="G23:I23"/>
    <mergeCell ref="G24:I24"/>
    <mergeCell ref="G25:I25"/>
    <mergeCell ref="G26:I26"/>
    <mergeCell ref="B21:D21"/>
    <mergeCell ref="B22:D22"/>
    <mergeCell ref="C51:D51"/>
    <mergeCell ref="B27:D27"/>
    <mergeCell ref="B18:D18"/>
    <mergeCell ref="B19:D19"/>
    <mergeCell ref="B20:D20"/>
    <mergeCell ref="C37:F37"/>
    <mergeCell ref="G20:I20"/>
    <mergeCell ref="G12:I12"/>
    <mergeCell ref="G13:I13"/>
    <mergeCell ref="G14:I14"/>
    <mergeCell ref="G15:I15"/>
    <mergeCell ref="G16:I16"/>
    <mergeCell ref="G17:I17"/>
    <mergeCell ref="G18:I18"/>
    <mergeCell ref="G19:I19"/>
  </mergeCells>
  <phoneticPr fontId="2"/>
  <printOptions horizontalCentered="1" verticalCentered="1"/>
  <pageMargins left="0" right="0" top="0.59055118110236227" bottom="0" header="0.51181102362204722" footer="0.51181102362204722"/>
  <pageSetup paperSize="9" orientation="landscape" copies="2" r:id="rId1"/>
  <headerFooter alignWithMargins="0"/>
  <rowBreaks count="1" manualBreakCount="1">
    <brk id="29"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P36"/>
  <sheetViews>
    <sheetView view="pageBreakPreview" zoomScaleNormal="100" workbookViewId="0">
      <selection activeCell="E9" sqref="E9"/>
    </sheetView>
  </sheetViews>
  <sheetFormatPr defaultRowHeight="13.5"/>
  <cols>
    <col min="1" max="79" width="5" customWidth="1"/>
  </cols>
  <sheetData>
    <row r="2" spans="3:10">
      <c r="H2" t="str">
        <f>安定計算シート!B9</f>
        <v>Ｗ2</v>
      </c>
    </row>
    <row r="3" spans="3:10">
      <c r="H3" t="s">
        <v>125</v>
      </c>
      <c r="J3" s="107">
        <f>'入力シート（ここ以外触らないこと）'!C18</f>
        <v>0.49</v>
      </c>
    </row>
    <row r="8" spans="3:10">
      <c r="E8" t="str">
        <f>安定計算シート!B13</f>
        <v>Ｅm</v>
      </c>
    </row>
    <row r="9" spans="3:10">
      <c r="E9" t="s">
        <v>126</v>
      </c>
    </row>
    <row r="10" spans="3:10">
      <c r="H10" t="str">
        <f>安定計算シート!B7</f>
        <v>Ｄ1</v>
      </c>
      <c r="J10">
        <f>'入力シート（ここ以外触らないこと）'!C12</f>
        <v>1.7</v>
      </c>
    </row>
    <row r="11" spans="3:10">
      <c r="H11" t="s">
        <v>125</v>
      </c>
    </row>
    <row r="13" spans="3:10">
      <c r="C13" t="str">
        <f>安定計算シート!B15</f>
        <v>Ｅh</v>
      </c>
    </row>
    <row r="14" spans="3:10">
      <c r="C14" t="s">
        <v>126</v>
      </c>
    </row>
    <row r="16" spans="3:10">
      <c r="H16" s="108">
        <f>'入力シート（ここ以外触らないこと）'!C17</f>
        <v>1.8</v>
      </c>
    </row>
    <row r="28" spans="14:14">
      <c r="N28">
        <f>'入力シート（ここ以外触らないこと）'!C12</f>
        <v>1.7</v>
      </c>
    </row>
    <row r="36" spans="7:16">
      <c r="G36" s="106">
        <v>6</v>
      </c>
      <c r="P36">
        <f>'入力シート（ここ以外触らないこと）'!C17</f>
        <v>1.8</v>
      </c>
    </row>
  </sheetData>
  <phoneticPr fontId="2"/>
  <printOptions horizontalCentered="1" verticalCentered="1"/>
  <pageMargins left="0.78740157480314965" right="0.78740157480314965" top="0.78740157480314965" bottom="0.78740157480314965" header="0.51181102362204722" footer="0.51181102362204722"/>
  <pageSetup paperSize="9" scale="96"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topLeftCell="B31" zoomScaleNormal="100" workbookViewId="0">
      <selection activeCell="G67" sqref="G67"/>
    </sheetView>
  </sheetViews>
  <sheetFormatPr defaultRowHeight="13.5"/>
  <cols>
    <col min="1" max="1" width="4.625" customWidth="1"/>
    <col min="2" max="2" width="7.625" customWidth="1"/>
    <col min="3" max="3" width="10.625" customWidth="1"/>
    <col min="4" max="4" width="20.625" customWidth="1"/>
    <col min="5" max="5" width="9.625" customWidth="1"/>
    <col min="6" max="7" width="15.625" customWidth="1"/>
    <col min="8" max="8" width="9.625" customWidth="1"/>
    <col min="9" max="9" width="9.625" bestFit="1" customWidth="1"/>
    <col min="10" max="10" width="3.75" customWidth="1"/>
  </cols>
  <sheetData>
    <row r="1" spans="1:12" ht="24">
      <c r="B1" s="194" t="s">
        <v>30</v>
      </c>
      <c r="C1" s="194"/>
      <c r="D1" s="194"/>
      <c r="E1" s="194"/>
      <c r="F1" s="194"/>
      <c r="G1" s="194"/>
      <c r="H1" s="194"/>
      <c r="I1" s="194"/>
      <c r="J1" s="8"/>
    </row>
    <row r="2" spans="1:12" ht="24">
      <c r="B2" s="29"/>
      <c r="C2" s="29"/>
      <c r="D2" s="29"/>
      <c r="E2" s="29"/>
      <c r="F2" s="29"/>
      <c r="G2" s="29"/>
      <c r="H2" s="29"/>
      <c r="I2" s="29"/>
      <c r="J2" s="8"/>
    </row>
    <row r="3" spans="1:12" ht="24">
      <c r="B3" s="42" t="s">
        <v>73</v>
      </c>
      <c r="C3" s="43" t="str">
        <f>"      "&amp;'入力シート（ここ以外触らないこと）'!$C$5&amp;"    "&amp;"  "&amp;'入力シート（ここ以外触らないこと）'!$C$6&amp;"  地内  "</f>
        <v xml:space="preserve">      ○○市      ○○地内  地内  </v>
      </c>
      <c r="D3" s="43"/>
      <c r="F3" s="44" t="str">
        <f>"("&amp;'入力シート（ここ以外触らないこと）'!C8&amp;")"</f>
        <v>(台形型)</v>
      </c>
      <c r="G3" s="109" t="str">
        <f>FIXED('入力シート（ここ以外触らないこと）'!C7,0)&amp;" 号ダム"</f>
        <v>1 号ダム</v>
      </c>
      <c r="H3" s="29"/>
      <c r="I3" s="29"/>
      <c r="J3" s="8"/>
    </row>
    <row r="4" spans="1:12" ht="14.25" thickBot="1"/>
    <row r="5" spans="1:12">
      <c r="A5" s="11"/>
      <c r="B5" s="12" t="s">
        <v>31</v>
      </c>
      <c r="C5" s="201" t="s">
        <v>32</v>
      </c>
      <c r="D5" s="202"/>
      <c r="E5" s="13" t="s">
        <v>33</v>
      </c>
      <c r="F5" s="201" t="s">
        <v>34</v>
      </c>
      <c r="G5" s="202"/>
      <c r="H5" s="14" t="s">
        <v>35</v>
      </c>
      <c r="I5" s="15" t="s">
        <v>36</v>
      </c>
    </row>
    <row r="6" spans="1:12">
      <c r="A6" s="11"/>
      <c r="B6" s="16" t="s">
        <v>37</v>
      </c>
      <c r="C6" s="203"/>
      <c r="D6" s="204"/>
      <c r="E6" s="17" t="s">
        <v>129</v>
      </c>
      <c r="F6" s="203"/>
      <c r="G6" s="204"/>
      <c r="H6" s="18" t="s">
        <v>38</v>
      </c>
      <c r="I6" s="19" t="s">
        <v>130</v>
      </c>
    </row>
    <row r="7" spans="1:12">
      <c r="A7" s="11"/>
      <c r="B7" s="205" t="s">
        <v>39</v>
      </c>
      <c r="C7" s="195" t="s">
        <v>40</v>
      </c>
      <c r="D7" s="196"/>
      <c r="E7" s="209">
        <f>ROUND('入力シート（ここ以外触らないこと）'!C17*'入力シート（ここ以外触らないこと）'!C12*'入力シート（ここ以外触らないこと）'!C30,3)</f>
        <v>47.277000000000001</v>
      </c>
      <c r="F7" s="195" t="s">
        <v>55</v>
      </c>
      <c r="G7" s="196"/>
      <c r="H7" s="192">
        <f>ROUND(1/2*'入力シート（ここ以外触らないこと）'!C17,3)</f>
        <v>0.9</v>
      </c>
      <c r="I7" s="207">
        <f>ROUND(E7*H7,3)</f>
        <v>42.548999999999999</v>
      </c>
    </row>
    <row r="8" spans="1:12">
      <c r="A8" s="11"/>
      <c r="B8" s="206"/>
      <c r="C8" s="199" t="str">
        <f>FIXED('入力シート（ここ以外触らないこと）'!C17,2)&amp;"×"&amp;FIXED('入力シート（ここ以外触らないこと）'!C12,2)&amp;"×"&amp;FIXED('入力シート（ここ以外触らないこと）'!C30,2)</f>
        <v>1.80×1.70×15.45</v>
      </c>
      <c r="D8" s="200"/>
      <c r="E8" s="210"/>
      <c r="F8" s="197" t="str">
        <f>"1/2×"&amp;FIXED('入力シート（ここ以外触らないこと）'!C17,2)</f>
        <v>1/2×1.80</v>
      </c>
      <c r="G8" s="198"/>
      <c r="H8" s="211"/>
      <c r="I8" s="208"/>
    </row>
    <row r="9" spans="1:12">
      <c r="A9" s="11"/>
      <c r="B9" s="205" t="s">
        <v>42</v>
      </c>
      <c r="C9" s="195" t="s">
        <v>41</v>
      </c>
      <c r="D9" s="196"/>
      <c r="E9" s="209">
        <f>ROUND('入力シート（ここ以外触らないこと）'!C17*'入力シート（ここ以外触らないこと）'!C18*'入力シート（ここ以外触らないこと）'!C21,3)</f>
        <v>10.407999999999999</v>
      </c>
      <c r="F9" s="195" t="s">
        <v>56</v>
      </c>
      <c r="G9" s="196"/>
      <c r="H9" s="192">
        <v>0.9</v>
      </c>
      <c r="I9" s="207">
        <f>ROUND(E9*H9,3)</f>
        <v>9.3670000000000009</v>
      </c>
    </row>
    <row r="10" spans="1:12" ht="14.25" thickBot="1">
      <c r="A10" s="11"/>
      <c r="B10" s="206"/>
      <c r="C10" s="212" t="str">
        <f>FIXED('入力シート（ここ以外触らないこと）'!C17,2)&amp;"×"&amp;FIXED('入力シート（ここ以外触らないこと）'!C18,2)&amp;"×"&amp;FIXED('入力シート（ここ以外触らないこと）'!C21,2)</f>
        <v>1.80×0.49×11.80</v>
      </c>
      <c r="D10" s="213"/>
      <c r="E10" s="210"/>
      <c r="F10" s="190" t="str">
        <f>"1/2×"&amp;FIXED('入力シート（ここ以外触らないこと）'!C17,2)</f>
        <v>1/2×1.80</v>
      </c>
      <c r="G10" s="191"/>
      <c r="H10" s="193"/>
      <c r="I10" s="208"/>
    </row>
    <row r="11" spans="1:12" ht="14.25" thickTop="1">
      <c r="A11" s="11"/>
      <c r="B11" s="226" t="s">
        <v>44</v>
      </c>
      <c r="C11" s="218" t="s">
        <v>45</v>
      </c>
      <c r="D11" s="219"/>
      <c r="E11" s="228">
        <f>E7+E9</f>
        <v>57.685000000000002</v>
      </c>
      <c r="F11" s="218" t="s">
        <v>46</v>
      </c>
      <c r="G11" s="219"/>
      <c r="H11" s="20"/>
      <c r="I11" s="216">
        <f>I7+I9</f>
        <v>51.915999999999997</v>
      </c>
    </row>
    <row r="12" spans="1:12" ht="14.25" thickBot="1">
      <c r="A12" s="11"/>
      <c r="B12" s="231"/>
      <c r="C12" s="223"/>
      <c r="D12" s="224"/>
      <c r="E12" s="232"/>
      <c r="F12" s="223"/>
      <c r="G12" s="224"/>
      <c r="H12" s="21"/>
      <c r="I12" s="222"/>
    </row>
    <row r="13" spans="1:12" ht="14.25" thickTop="1">
      <c r="A13" s="11"/>
      <c r="B13" s="205" t="s">
        <v>57</v>
      </c>
      <c r="C13" s="214" t="s">
        <v>74</v>
      </c>
      <c r="D13" s="215"/>
      <c r="E13" s="209">
        <f>ROUND('入力シート（ここ以外触らないこと）'!C18*'入力シート（ここ以外触らないこと）'!C21*1/'入力シート（ここ以外触らないこと）'!C22*'入力シート（ここ以外触らないこと）'!C12*'入力シート（ここ以外触らないこと）'!C22*'入力シート（ここ以外触らないこと）'!C25,3)</f>
        <v>3.2730000000000001</v>
      </c>
      <c r="F13" s="214" t="s">
        <v>43</v>
      </c>
      <c r="G13" s="215"/>
      <c r="H13" s="192">
        <f>ROUND(1/2*'入力シート（ここ以外触らないこと）'!C12,3)</f>
        <v>0.85</v>
      </c>
      <c r="I13" s="225">
        <f>ROUND(E13*H13,3)</f>
        <v>2.782</v>
      </c>
    </row>
    <row r="14" spans="1:12">
      <c r="A14" s="11"/>
      <c r="B14" s="206"/>
      <c r="C14" s="197" t="str">
        <f>FIXED('入力シート（ここ以外触らないこと）'!C18,2)&amp;"×"&amp;FIXED('入力シート（ここ以外触らないこと）'!C21,2)&amp;"×1/"&amp;FIXED('入力シート（ここ以外触らないこと）'!C22,2)&amp;"×"&amp;FIXED('入力シート（ここ以外触らないこと）'!C12,2)&amp;"×"&amp;FIXED('入力シート（ここ以外触らないこと）'!C22,2)&amp;"×"&amp;FIXED('入力シート（ここ以外触らないこと）'!C25,3)</f>
        <v>0.49×11.80×1/18.00×1.70×18.00×0.333</v>
      </c>
      <c r="D14" s="198"/>
      <c r="E14" s="210"/>
      <c r="F14" s="199" t="str">
        <f>"1/2×"&amp;FIXED('入力シート（ここ以外触らないこと）'!C12,2)</f>
        <v>1/2×1.70</v>
      </c>
      <c r="G14" s="200"/>
      <c r="H14" s="193"/>
      <c r="I14" s="208"/>
    </row>
    <row r="15" spans="1:12" ht="14.25">
      <c r="A15" s="11"/>
      <c r="B15" s="205" t="s">
        <v>132</v>
      </c>
      <c r="C15" s="195" t="s">
        <v>47</v>
      </c>
      <c r="D15" s="196"/>
      <c r="E15" s="209">
        <f>ROUND('入力シート（ここ以外触らないこと）'!C12^2*1/2*'入力シート（ここ以外触らないこと）'!C22*'入力シート（ここ以外触らないこと）'!C25,3)</f>
        <v>8.6609999999999996</v>
      </c>
      <c r="F15" s="195" t="s">
        <v>61</v>
      </c>
      <c r="G15" s="196"/>
      <c r="H15" s="192">
        <f>ROUND(1/3*'入力シート（ここ以外触らないこと）'!C12,3)</f>
        <v>0.56699999999999995</v>
      </c>
      <c r="I15" s="207">
        <f>ROUND(E15*H15,3)</f>
        <v>4.9109999999999996</v>
      </c>
      <c r="L15" s="1"/>
    </row>
    <row r="16" spans="1:12" ht="14.25" thickBot="1">
      <c r="A16" s="11"/>
      <c r="B16" s="230"/>
      <c r="C16" s="190" t="str">
        <f>FIXED('入力シート（ここ以外触らないこと）'!C12,2)&amp;"^2×"&amp;"1/2"&amp;"×"&amp;FIXED('入力シート（ここ以外触らないこと）'!C22,2)&amp;"×"&amp;FIXED('入力シート（ここ以外触らないこと）'!C25,3)</f>
        <v>1.70^2×1/2×18.00×0.333</v>
      </c>
      <c r="D16" s="191"/>
      <c r="E16" s="210"/>
      <c r="F16" s="212" t="str">
        <f>"1/3×"&amp;FIXED('入力シート（ここ以外触らないこと）'!C12,2)</f>
        <v>1/3×1.70</v>
      </c>
      <c r="G16" s="213"/>
      <c r="H16" s="193"/>
      <c r="I16" s="208"/>
    </row>
    <row r="17" spans="1:9" ht="14.25" thickTop="1">
      <c r="A17" s="11"/>
      <c r="B17" s="226" t="s">
        <v>44</v>
      </c>
      <c r="C17" s="218" t="s">
        <v>48</v>
      </c>
      <c r="D17" s="219"/>
      <c r="E17" s="228">
        <f>E13+E15</f>
        <v>11.933999999999999</v>
      </c>
      <c r="F17" s="218" t="s">
        <v>49</v>
      </c>
      <c r="G17" s="219"/>
      <c r="H17" s="23"/>
      <c r="I17" s="216">
        <f>I13+I15</f>
        <v>7.6929999999999996</v>
      </c>
    </row>
    <row r="18" spans="1:9" ht="14.25" thickBot="1">
      <c r="A18" s="11"/>
      <c r="B18" s="227"/>
      <c r="C18" s="220"/>
      <c r="D18" s="221"/>
      <c r="E18" s="229"/>
      <c r="F18" s="220"/>
      <c r="G18" s="221"/>
      <c r="H18" s="24"/>
      <c r="I18" s="217"/>
    </row>
    <row r="19" spans="1:9">
      <c r="A19" s="11"/>
      <c r="B19" s="11"/>
      <c r="C19" s="11"/>
      <c r="D19" s="11"/>
      <c r="E19" s="11"/>
      <c r="F19" s="11"/>
      <c r="G19" s="11"/>
      <c r="H19" s="11"/>
      <c r="I19" s="11"/>
    </row>
    <row r="20" spans="1:9">
      <c r="A20" s="11"/>
      <c r="B20" s="11"/>
      <c r="C20" s="11"/>
      <c r="D20" s="11"/>
      <c r="E20" s="11"/>
      <c r="F20" s="11"/>
      <c r="G20" s="11"/>
      <c r="H20" s="11"/>
      <c r="I20" s="11"/>
    </row>
    <row r="21" spans="1:9" ht="14.25">
      <c r="A21" s="25" t="s">
        <v>50</v>
      </c>
      <c r="B21" s="11"/>
      <c r="C21" s="11"/>
      <c r="D21" s="11"/>
      <c r="E21" s="11"/>
      <c r="F21" s="11"/>
      <c r="G21" s="11"/>
      <c r="H21" s="11"/>
      <c r="I21" s="11"/>
    </row>
    <row r="22" spans="1:9">
      <c r="A22" s="26"/>
      <c r="B22" s="11"/>
      <c r="C22" s="11"/>
      <c r="D22" s="27" t="str">
        <f>"堤底厚（Ｂ）＝  ｂ  ＝ "&amp;体積計算シート!F14&amp;" = "</f>
        <v xml:space="preserve">堤底厚（Ｂ）＝  ｂ  ＝ 1.8 = </v>
      </c>
      <c r="E22" s="11"/>
      <c r="F22" s="11"/>
      <c r="G22" s="11" t="str">
        <f>FIXED('入力シート（ここ以外触らないこと）'!$C$17,2)&amp;" ｍ"</f>
        <v>1.80 ｍ</v>
      </c>
      <c r="I22" s="11"/>
    </row>
    <row r="23" spans="1:9">
      <c r="A23" s="26"/>
      <c r="B23" s="11"/>
      <c r="C23" s="11"/>
      <c r="D23" s="27" t="str">
        <f>"断面積（Ａ）＝ ｂ×ｈ ＝ "&amp;FIXED('入力シート（ここ以外触らないこと）'!C17,2)&amp;"×"&amp;FIXED('入力シート（ここ以外触らないこと）'!C12,2)&amp; " =  "</f>
        <v xml:space="preserve">断面積（Ａ）＝ ｂ×ｈ ＝ 1.80×1.70 =  </v>
      </c>
      <c r="E23" s="11"/>
      <c r="F23" s="11"/>
      <c r="G23" s="11" t="str">
        <f>FIXED('入力シート（ここ以外触らないこと）'!C17*'入力シート（ここ以外触らないこと）'!C12,3)&amp;" ㎡"</f>
        <v>3.060 ㎡</v>
      </c>
      <c r="I23" s="11"/>
    </row>
    <row r="24" spans="1:9">
      <c r="A24" s="26"/>
      <c r="B24" s="11"/>
      <c r="C24" s="11"/>
      <c r="D24" s="11"/>
      <c r="E24" s="11"/>
      <c r="F24" s="11"/>
      <c r="G24" s="11"/>
      <c r="H24" s="11"/>
      <c r="I24" s="11"/>
    </row>
    <row r="25" spans="1:9">
      <c r="A25" s="26"/>
      <c r="B25" s="11"/>
      <c r="C25" s="11"/>
      <c r="D25" s="11"/>
      <c r="E25" s="11"/>
      <c r="F25" s="11"/>
      <c r="G25" s="11"/>
      <c r="H25" s="11"/>
      <c r="I25" s="11"/>
    </row>
    <row r="26" spans="1:9" ht="14.25">
      <c r="A26" s="25" t="s">
        <v>67</v>
      </c>
      <c r="B26" s="11"/>
      <c r="C26" s="11"/>
      <c r="D26" s="11"/>
      <c r="E26" s="11"/>
      <c r="F26" s="11"/>
      <c r="G26" s="11"/>
      <c r="H26" s="11"/>
      <c r="I26" s="11"/>
    </row>
    <row r="27" spans="1:9" ht="14.25">
      <c r="A27" s="25"/>
      <c r="B27" s="11"/>
      <c r="C27" s="11"/>
      <c r="D27" s="11" t="str">
        <f>"b×1/3 = "&amp;FIXED('入力シート（ここ以外触らないこと）'!C17,2)&amp;"×1/3 ="</f>
        <v>b×1/3 = 1.80×1/3 =</v>
      </c>
      <c r="E27" s="11"/>
      <c r="F27" s="32">
        <f>ROUND(1/3*'入力シート（ここ以外触らないこと）'!C17,2)</f>
        <v>0.6</v>
      </c>
      <c r="G27" s="11" t="s">
        <v>62</v>
      </c>
      <c r="H27" s="11"/>
      <c r="I27" s="11"/>
    </row>
    <row r="28" spans="1:9" ht="14.25">
      <c r="A28" s="25"/>
      <c r="B28" s="11"/>
      <c r="C28" s="11"/>
      <c r="D28" s="11" t="str">
        <f>"b×2/3 = "&amp;FIXED('入力シート（ここ以外触らないこと）'!C17,2)&amp;"×2/3 ="</f>
        <v>b×2/3 = 1.80×2/3 =</v>
      </c>
      <c r="E28" s="11"/>
      <c r="F28" s="32">
        <f>ROUND(2/3*'入力シート（ここ以外触らないこと）'!C17,2)</f>
        <v>1.2</v>
      </c>
      <c r="G28" s="11" t="s">
        <v>62</v>
      </c>
      <c r="H28" s="11"/>
      <c r="I28" s="11"/>
    </row>
    <row r="29" spans="1:9">
      <c r="A29" s="11"/>
      <c r="B29" s="11"/>
      <c r="C29" s="11"/>
      <c r="D29" s="27" t="str">
        <f>"合力の作用位置(X)=(MV-MH)/ΣV= ("&amp;((FIXED(I11,3)&amp;"-"&amp;FIXED(I17,3)&amp;")/"&amp;FIXED(E11,3)&amp;"="))</f>
        <v>合力の作用位置(X)=(MV-MH)/ΣV= (51.916-7.693)/57.685=</v>
      </c>
      <c r="E29" s="11"/>
      <c r="F29" s="11"/>
      <c r="G29" s="11"/>
      <c r="H29" s="31">
        <f>ROUND((I11-I17)/E11,3)</f>
        <v>0.76700000000000002</v>
      </c>
      <c r="I29" s="11" t="s">
        <v>62</v>
      </c>
    </row>
    <row r="30" spans="1:9">
      <c r="A30" s="11"/>
      <c r="B30" s="11"/>
      <c r="C30" s="11"/>
      <c r="D30" s="27" t="str">
        <f>IF(F27&lt;H29,F27&amp;"&lt;"&amp;H29,H29&amp;"≦"&amp;F27)</f>
        <v>0.6&lt;0.767</v>
      </c>
      <c r="E30" s="11"/>
      <c r="F30" s="11"/>
      <c r="G30" s="11"/>
      <c r="H30" s="31"/>
      <c r="I30" s="11"/>
    </row>
    <row r="31" spans="1:9">
      <c r="A31" s="11"/>
      <c r="B31" s="11"/>
      <c r="C31" s="11"/>
      <c r="D31" s="27" t="str">
        <f>IF(H29&lt;F28,H29&amp;"&lt;"&amp;F28,F28&amp;"≦"&amp;H29)</f>
        <v>0.767&lt;1.2</v>
      </c>
      <c r="E31" s="11"/>
      <c r="F31" s="11"/>
      <c r="G31" s="11"/>
      <c r="H31" s="31"/>
      <c r="I31" s="11"/>
    </row>
    <row r="32" spans="1:9" ht="8.25" customHeight="1">
      <c r="A32" s="11"/>
      <c r="B32" s="11"/>
      <c r="C32" s="11"/>
      <c r="D32" s="27"/>
      <c r="E32" s="11"/>
      <c r="F32" s="11"/>
      <c r="G32" s="11"/>
      <c r="H32" s="31"/>
      <c r="I32" s="11"/>
    </row>
    <row r="33" spans="1:9">
      <c r="A33" s="11"/>
      <c r="B33" s="11"/>
      <c r="C33" s="11"/>
      <c r="D33" s="27" t="str">
        <f>IF(AND(F27&lt;=H29,H29&lt;=F28),"ミドルサードに入っている","ミドルサードに入っていない")</f>
        <v>ミドルサードに入っている</v>
      </c>
      <c r="E33" s="11"/>
      <c r="F33" s="11"/>
      <c r="G33" s="11"/>
      <c r="H33" s="31"/>
      <c r="I33" s="11"/>
    </row>
    <row r="34" spans="1:9">
      <c r="A34" s="11"/>
      <c r="B34" s="11"/>
      <c r="C34" s="11"/>
      <c r="D34" s="27" t="str">
        <f>IF(AND(0&lt;=H29,H29&lt;='入力シート（ここ以外触らないこと）'!C17),"合力の作用線が堤底幅内にあるので転倒はしない","合力の作用線が堤底幅外にあるので転倒する")</f>
        <v>合力の作用線が堤底幅内にあるので転倒はしない</v>
      </c>
      <c r="E34" s="11"/>
      <c r="F34" s="11"/>
      <c r="G34" s="11"/>
      <c r="H34" s="31"/>
      <c r="I34" s="11"/>
    </row>
    <row r="35" spans="1:9">
      <c r="A35" s="11"/>
      <c r="B35" s="11"/>
      <c r="C35" s="11"/>
      <c r="D35" s="27"/>
      <c r="E35" s="11"/>
      <c r="F35" s="11"/>
      <c r="G35" s="11"/>
      <c r="H35" s="31"/>
      <c r="I35" s="11"/>
    </row>
    <row r="36" spans="1:9">
      <c r="A36" s="26"/>
      <c r="B36" s="11"/>
      <c r="C36" s="11"/>
      <c r="D36" s="22" t="str">
        <f>"偏心距離(ｅ)＝  b/2 - X = "&amp;FIXED(体積計算シート!F14,2)&amp;" / 2 - "&amp;FIXED(H29,3)&amp;""</f>
        <v>偏心距離(ｅ)＝  b/2 - X = 1.80 / 2 - 0.767</v>
      </c>
      <c r="E36" s="11"/>
      <c r="G36" s="33">
        <f>体積計算シート!F14/2-安定計算シート!H29</f>
        <v>0.13300000000000001</v>
      </c>
      <c r="H36" s="11" t="s">
        <v>62</v>
      </c>
      <c r="I36" s="11"/>
    </row>
    <row r="37" spans="1:9">
      <c r="A37" s="28"/>
      <c r="B37" s="11"/>
      <c r="C37" s="11"/>
      <c r="D37" s="22" t="str">
        <f>" b／6 = "&amp;FIXED('入力シート（ここ以外触らないこと）'!C17,2)&amp;" × 1/6 = "</f>
        <v xml:space="preserve"> b／6 = 1.80 × 1/6 = </v>
      </c>
      <c r="E37" s="11"/>
      <c r="G37" s="33">
        <f>ROUND('入力シート（ここ以外触らないこと）'!C17/6,3)</f>
        <v>0.3</v>
      </c>
      <c r="H37" s="11" t="s">
        <v>62</v>
      </c>
      <c r="I37" s="11"/>
    </row>
    <row r="38" spans="1:9" ht="7.5" customHeight="1">
      <c r="A38" s="28"/>
      <c r="B38" s="11"/>
      <c r="C38" s="11"/>
      <c r="D38" s="22"/>
      <c r="E38" s="11"/>
      <c r="F38" s="11"/>
      <c r="G38" s="11"/>
      <c r="H38" s="11"/>
      <c r="I38" s="11"/>
    </row>
    <row r="39" spans="1:9">
      <c r="A39" s="28"/>
      <c r="B39" s="11"/>
      <c r="C39" s="11"/>
      <c r="D39" s="27" t="str">
        <f>IF(G36&lt;G37,"合力の作用線と堤底との交点がmiddle third内にあるので，上流端に引張応力を生じない。","上流側に引張力が発生する")</f>
        <v>合力の作用線と堤底との交点がmiddle third内にあるので，上流端に引張応力を生じない。</v>
      </c>
      <c r="E39" s="11"/>
      <c r="F39" s="11"/>
      <c r="G39" s="11"/>
      <c r="H39" s="11"/>
      <c r="I39" s="11"/>
    </row>
    <row r="40" spans="1:9">
      <c r="A40" s="28"/>
      <c r="B40" s="11"/>
      <c r="C40" s="11"/>
      <c r="D40" s="27"/>
      <c r="E40" s="11"/>
      <c r="F40" s="11"/>
      <c r="G40" s="11"/>
      <c r="H40" s="11"/>
      <c r="I40" s="11"/>
    </row>
    <row r="41" spans="1:9">
      <c r="A41" s="28"/>
      <c r="B41" s="11"/>
      <c r="C41" s="11"/>
      <c r="D41" s="11"/>
      <c r="E41" s="11"/>
      <c r="F41" s="11"/>
      <c r="G41" s="11"/>
      <c r="H41" s="11"/>
      <c r="I41" s="11"/>
    </row>
    <row r="42" spans="1:9" ht="14.25">
      <c r="A42" s="25" t="s">
        <v>66</v>
      </c>
      <c r="B42" s="11"/>
      <c r="C42" s="11"/>
      <c r="D42" s="11"/>
      <c r="E42" s="11"/>
      <c r="F42" s="11"/>
      <c r="G42" s="11"/>
      <c r="H42" s="11"/>
      <c r="I42" s="11"/>
    </row>
    <row r="43" spans="1:9">
      <c r="A43" s="26"/>
      <c r="B43" s="11"/>
      <c r="C43" s="11"/>
      <c r="D43" s="22" t="str">
        <f>"内部応力（σ１）＝ ΣＶ/b×(1＋6ｅ/b）＝"&amp;E11&amp;"/"&amp;'入力シート（ここ以外触らないこと）'!C17&amp;"×(1+6×"&amp;G36&amp;"/"&amp;'入力シート（ここ以外触らないこと）'!C17&amp;")="</f>
        <v>内部応力（σ１）＝ ΣＶ/b×(1＋6ｅ/b）＝57.685/1.8×(1+6×0.133/1.8)=</v>
      </c>
      <c r="E43" s="11"/>
      <c r="F43" s="11"/>
      <c r="H43" s="11">
        <f>ROUND((E11/'入力シート（ここ以外触らないこと）'!C17)*(1+6*G36/'入力シート（ここ以外触らないこと）'!C17),3)</f>
        <v>46.255000000000003</v>
      </c>
      <c r="I43" s="11" t="s">
        <v>131</v>
      </c>
    </row>
    <row r="44" spans="1:9">
      <c r="A44" s="11"/>
      <c r="B44" s="11"/>
      <c r="C44" s="11"/>
      <c r="D44" s="22" t="str">
        <f>"　　　　（σ２）＝ ΣＶ/b×(1－6ｅ/b）＝"&amp;E11&amp;"/"&amp;'入力シート（ここ以外触らないこと）'!C17&amp;"×(1-6×"&amp;安定計算シート!G36&amp;"/"&amp;'入力シート（ここ以外触らないこと）'!C17&amp;")="</f>
        <v>　　　　（σ２）＝ ΣＶ/b×(1－6ｅ/b）＝57.685/1.8×(1-6×0.133/1.8)=</v>
      </c>
      <c r="E44" s="11"/>
      <c r="F44" s="11"/>
      <c r="H44" s="11">
        <f>ROUND((E11/'入力シート（ここ以外触らないこと）'!C17)*(1-6*G36/'入力シート（ここ以外触らないこと）'!C17),3)</f>
        <v>17.84</v>
      </c>
      <c r="I44" s="11" t="s">
        <v>131</v>
      </c>
    </row>
    <row r="45" spans="1:9" ht="14.25">
      <c r="A45" s="26"/>
      <c r="B45" s="11"/>
      <c r="C45" s="11"/>
      <c r="D45" s="22" t="s">
        <v>51</v>
      </c>
      <c r="E45" s="11"/>
      <c r="F45" s="11"/>
      <c r="H45" s="11">
        <f>H43</f>
        <v>46.255000000000003</v>
      </c>
      <c r="I45" s="11" t="s">
        <v>131</v>
      </c>
    </row>
    <row r="46" spans="1:9" ht="14.25">
      <c r="A46" s="26"/>
      <c r="B46" s="11"/>
      <c r="C46" s="11"/>
      <c r="D46" s="22" t="s">
        <v>52</v>
      </c>
      <c r="E46" s="11"/>
      <c r="F46" s="11"/>
      <c r="H46" s="11">
        <f>H44</f>
        <v>17.84</v>
      </c>
      <c r="I46" s="11" t="s">
        <v>131</v>
      </c>
    </row>
    <row r="47" spans="1:9" ht="7.5" customHeight="1">
      <c r="A47" s="26"/>
      <c r="B47" s="11"/>
      <c r="C47" s="11"/>
      <c r="D47" s="11"/>
      <c r="E47" s="11"/>
      <c r="F47" s="11"/>
      <c r="G47" s="11"/>
      <c r="H47" s="11"/>
      <c r="I47" s="11"/>
    </row>
    <row r="48" spans="1:9" ht="13.5" customHeight="1">
      <c r="A48" s="26"/>
      <c r="B48" s="11"/>
      <c r="C48" s="11"/>
      <c r="D48" s="30" t="s">
        <v>63</v>
      </c>
      <c r="E48" s="11" t="str">
        <f>IF(H45&lt;'入力シート（ここ以外触らないこと）'!C29,H45&amp;"&lt;"&amp;'入力シート（ここ以外触らないこと）'!C29&amp;" 　この結果、安全である ",H45&amp;"≧"&amp;'入力シート（ここ以外触らないこと）'!C29&amp;" 　この結果、安全でない ")</f>
        <v xml:space="preserve">46.255&lt;200 　この結果、安全である </v>
      </c>
      <c r="F48" s="11"/>
      <c r="G48" s="11"/>
      <c r="H48" s="11"/>
      <c r="I48" s="11"/>
    </row>
    <row r="49" spans="1:9" ht="14.25">
      <c r="A49" s="26"/>
      <c r="B49" s="11"/>
      <c r="C49" s="11"/>
      <c r="D49" s="30" t="s">
        <v>64</v>
      </c>
      <c r="E49" s="11" t="str">
        <f>IF(H46&lt;'入力シート（ここ以外触らないこと）'!C29,H46&amp;"&lt;"&amp;'入力シート（ここ以外触らないこと）'!C29&amp;" 　この結果、安全である ",H46&amp;"≧"&amp;'入力シート（ここ以外触らないこと）'!C29&amp;" 　この結果、安全でない ")</f>
        <v xml:space="preserve">17.84&lt;200 　この結果、安全である </v>
      </c>
      <c r="F49" s="11"/>
      <c r="G49" s="11"/>
      <c r="H49" s="11"/>
      <c r="I49" s="11"/>
    </row>
    <row r="50" spans="1:9">
      <c r="A50" s="26"/>
      <c r="B50" s="11"/>
      <c r="C50" s="11"/>
      <c r="D50" s="30"/>
      <c r="E50" s="11"/>
      <c r="F50" s="11"/>
      <c r="G50" s="11"/>
      <c r="H50" s="11"/>
      <c r="I50" s="11"/>
    </row>
    <row r="51" spans="1:9">
      <c r="A51" s="26"/>
      <c r="B51" s="11"/>
      <c r="C51" s="11"/>
      <c r="D51" s="11"/>
      <c r="E51" s="11"/>
      <c r="F51" s="11"/>
      <c r="G51" s="11"/>
      <c r="H51" s="11"/>
      <c r="I51" s="11"/>
    </row>
    <row r="52" spans="1:9" ht="14.25">
      <c r="A52" s="25" t="s">
        <v>65</v>
      </c>
      <c r="B52" s="11"/>
      <c r="C52" s="11"/>
      <c r="D52" s="11"/>
      <c r="E52" s="11"/>
      <c r="F52" s="11"/>
      <c r="G52" s="11"/>
      <c r="H52" s="11"/>
      <c r="I52" s="11"/>
    </row>
    <row r="53" spans="1:9">
      <c r="A53" s="26"/>
      <c r="B53" s="11"/>
      <c r="C53" s="11"/>
      <c r="D53" s="27" t="str">
        <f>" f×ΣＶ／ΣＨ ＝ "&amp;FIXED('入力シート（ここ以外触らないこと）'!C24,2)&amp;"×"&amp;FIXED(E11,3)&amp;"／"&amp;FIXED(E17,3)&amp;" = "</f>
        <v xml:space="preserve"> f×ΣＶ／ΣＨ ＝ 0.50×57.685／11.934 = </v>
      </c>
      <c r="E53" s="11"/>
      <c r="F53" s="11"/>
      <c r="G53" s="11">
        <f>ROUND('入力シート（ここ以外触らないこと）'!C24*安定計算シート!E11/安定計算シート!E17,3)</f>
        <v>2.4169999999999998</v>
      </c>
      <c r="I53" s="11"/>
    </row>
    <row r="54" spans="1:9" ht="6" customHeight="1">
      <c r="A54" s="26"/>
      <c r="B54" s="11"/>
      <c r="C54" s="11"/>
      <c r="D54" s="27"/>
      <c r="E54" s="11"/>
      <c r="F54" s="11"/>
      <c r="G54" s="11"/>
      <c r="I54" s="11"/>
    </row>
    <row r="55" spans="1:9">
      <c r="A55" s="26"/>
      <c r="B55" s="11"/>
      <c r="C55" s="11"/>
      <c r="D55" s="11" t="str">
        <f>IF(G53&gt;'入力シート（ここ以外触らないこと）'!C27,安定計算シート!G53&amp;"&gt;"&amp;FIXED('入力シート（ここ以外触らないこと）'!C27,2)&amp;"　　この結果、安全である",G53&amp;"≦"&amp;'入力シート（ここ以外触らないこと）'!C27&amp;"　　この結果、安全でない")</f>
        <v>2.417&gt;1.00　　この結果、安全である</v>
      </c>
      <c r="E55" s="11"/>
      <c r="F55" s="11"/>
      <c r="G55" s="11"/>
      <c r="H55" s="11"/>
      <c r="I55" s="11"/>
    </row>
    <row r="56" spans="1:9">
      <c r="A56" s="26"/>
      <c r="B56" s="11"/>
      <c r="C56" s="11"/>
      <c r="D56" s="11"/>
      <c r="E56" s="11"/>
      <c r="F56" s="11"/>
      <c r="G56" s="11"/>
      <c r="H56" s="11"/>
      <c r="I56" s="11"/>
    </row>
    <row r="57" spans="1:9">
      <c r="A57" s="26"/>
      <c r="B57" s="11"/>
      <c r="C57" s="11"/>
      <c r="D57" s="11"/>
      <c r="E57" s="11"/>
      <c r="F57" s="11"/>
      <c r="G57" s="11"/>
      <c r="H57" s="11"/>
      <c r="I57" s="11"/>
    </row>
    <row r="58" spans="1:9" ht="14.25">
      <c r="A58" s="25" t="s">
        <v>68</v>
      </c>
      <c r="B58" s="11"/>
      <c r="C58" s="11"/>
      <c r="D58" s="11"/>
      <c r="E58" s="11"/>
      <c r="F58" s="11"/>
      <c r="G58" s="11"/>
      <c r="H58" s="11"/>
      <c r="I58" s="11"/>
    </row>
    <row r="59" spans="1:9" ht="14.25">
      <c r="A59" s="25"/>
      <c r="B59" s="11"/>
      <c r="C59" s="11"/>
      <c r="D59" s="11" t="s">
        <v>69</v>
      </c>
      <c r="E59" s="11"/>
      <c r="F59" s="11"/>
      <c r="G59" s="11"/>
      <c r="H59" s="11"/>
      <c r="I59" s="11"/>
    </row>
    <row r="60" spans="1:9" ht="14.25">
      <c r="A60" s="25"/>
      <c r="B60" s="11"/>
      <c r="C60" s="11"/>
      <c r="D60" s="11" t="str">
        <f>"Ｍd = e×∑v = "&amp;FIXED(G36,3)&amp;"×"&amp;E11&amp;" ="</f>
        <v>Ｍd = e×∑v = 0.133×57.685 =</v>
      </c>
      <c r="E60" s="11"/>
      <c r="F60" s="11">
        <f>ROUND(G36*E11,3)</f>
        <v>7.6719999999999997</v>
      </c>
      <c r="G60" s="11"/>
      <c r="H60" s="11"/>
      <c r="I60" s="11"/>
    </row>
    <row r="61" spans="1:9">
      <c r="A61" s="26"/>
      <c r="B61" s="11"/>
      <c r="C61" s="11"/>
      <c r="D61" s="11" t="s">
        <v>70</v>
      </c>
      <c r="E61" s="11"/>
      <c r="F61" s="11"/>
      <c r="G61" s="11"/>
      <c r="H61" s="11"/>
      <c r="I61" s="11"/>
    </row>
    <row r="62" spans="1:9">
      <c r="A62" s="26"/>
      <c r="B62" s="11"/>
      <c r="C62" s="11"/>
      <c r="D62" s="11" t="str">
        <f>"Ｍr = 1/6×γ×Ｒ0×h^3 =1/6×"</f>
        <v>Ｍr = 1/6×γ×Ｒ0×h^3 =1/6×</v>
      </c>
      <c r="E62" s="11"/>
      <c r="F62" s="11"/>
      <c r="G62" s="11"/>
      <c r="H62" s="11"/>
      <c r="I62" s="11"/>
    </row>
    <row r="63" spans="1:9">
      <c r="A63" s="26"/>
      <c r="B63" s="11"/>
      <c r="C63" s="11"/>
      <c r="D63" s="34" t="s">
        <v>71</v>
      </c>
      <c r="E63" s="11"/>
      <c r="F63" s="11"/>
      <c r="G63" s="11"/>
      <c r="H63" s="11"/>
      <c r="I63" s="11"/>
    </row>
    <row r="64" spans="1:9">
      <c r="A64" s="26"/>
      <c r="B64" s="11"/>
      <c r="C64" s="11"/>
      <c r="D64" s="35" t="str">
        <f>"Ｖ0= b/h = "&amp;FIXED('入力シート（ここ以外触らないこと）'!C17,2)&amp;"/"&amp;FIXED('入力シート（ここ以外触らないこと）'!C12,2)&amp;" ="</f>
        <v>Ｖ0= b/h = 1.80/1.70 =</v>
      </c>
      <c r="F64" s="11">
        <f>ROUND('入力シート（ここ以外触らないこと）'!C17/'入力シート（ここ以外触らないこと）'!C12,3)</f>
        <v>1.0589999999999999</v>
      </c>
      <c r="H64" s="11"/>
      <c r="I64" s="11"/>
    </row>
    <row r="65" spans="1:9">
      <c r="A65" s="26"/>
      <c r="B65" s="11"/>
      <c r="C65" s="11"/>
      <c r="D65" s="34" t="str">
        <f>"Ｒ0=Ｖ0^2×(3-Ｖ0×cosφ)×sinφ=("&amp;F64&amp;")^2"&amp;"×("&amp;"3-"&amp;F64&amp;"×cos"&amp;'入力シート（ここ以外触らないこと）'!C26&amp;")×sin"&amp;'入力シート（ここ以外触らないこと）'!C26&amp;"="</f>
        <v>Ｒ0=Ｖ0^2×(3-Ｖ0×cosφ)×sinφ=(1.059)^2×(3-1.059×cos35)×sin35=</v>
      </c>
      <c r="E65" s="11"/>
      <c r="F65" s="11"/>
      <c r="G65" s="11"/>
      <c r="I65" s="11">
        <f>ROUND((COS('入力シート（ここ以外触らないこと）'!C26*PI()/180)*-F64+3)*F64^2*SIN('入力シート（ここ以外触らないこと）'!C26*PI()/180),4)</f>
        <v>1.3717999999999999</v>
      </c>
    </row>
    <row r="66" spans="1:9">
      <c r="A66" s="26"/>
      <c r="B66" s="11"/>
      <c r="C66" s="11"/>
      <c r="D66" s="11" t="str">
        <f>"Ｍr = 1/6×γ×Ｒ0×h^3 =1/6×"&amp;'入力シート（ここ以外触らないこと）'!C30&amp;"×"&amp;I65&amp;"×"&amp;'入力シート（ここ以外触らないこと）'!C12&amp;"^3="</f>
        <v>Ｍr = 1/6×γ×Ｒ0×h^3 =1/6×15.45×1.3718×1.7^3=</v>
      </c>
      <c r="E66" s="11"/>
      <c r="F66" s="11"/>
      <c r="G66" s="11">
        <f>ROUND(1/6*'入力シート（ここ以外触らないこと）'!C30*I65*'入力シート（ここ以外触らないこと）'!C12^3,4)</f>
        <v>17.354600000000001</v>
      </c>
      <c r="H66" s="11"/>
      <c r="I66" s="11"/>
    </row>
    <row r="67" spans="1:9">
      <c r="A67" s="26"/>
      <c r="B67" s="11"/>
      <c r="C67" s="11"/>
      <c r="E67" s="11"/>
      <c r="F67" s="11"/>
      <c r="G67" s="11"/>
      <c r="H67" s="11"/>
      <c r="I67" s="11"/>
    </row>
    <row r="68" spans="1:9">
      <c r="A68" s="26"/>
      <c r="B68" s="11"/>
      <c r="C68" s="11"/>
      <c r="D68" s="11" t="str">
        <f>"Ｍr／Ｍd = "&amp;G66&amp;"／"&amp;F60&amp;" ="</f>
        <v>Ｍr／Ｍd = 17.3546／7.672 =</v>
      </c>
      <c r="E68" s="11"/>
      <c r="F68" s="11">
        <f>ROUND(G66/F60,2)</f>
        <v>2.2599999999999998</v>
      </c>
      <c r="G68" s="11"/>
      <c r="H68" s="11"/>
      <c r="I68" s="11"/>
    </row>
    <row r="69" spans="1:9">
      <c r="A69" s="26"/>
      <c r="B69" s="11"/>
      <c r="C69" s="11"/>
      <c r="D69" s="11" t="str">
        <f>IF(F68&gt;='入力シート（ここ以外触らないこと）'!C28,F68&amp;"≧"&amp;'入力シート（ここ以外触らないこと）'!C28&amp;"　　この結果、安全である",IF(1&lt;=F68,"安全率は 1.0 以上であるが 1.2 は確保できていない",F68&amp;"&lt;"&amp;'入力シート（ここ以外触らないこと）'!C28&amp;"この結果、安全でない"))</f>
        <v>2.26≧1.2　　この結果、安全である</v>
      </c>
      <c r="E69" s="11"/>
      <c r="F69" s="11"/>
      <c r="G69" s="11"/>
      <c r="H69" s="11"/>
      <c r="I69" s="11"/>
    </row>
    <row r="70" spans="1:9">
      <c r="A70" s="26"/>
      <c r="B70" s="11"/>
      <c r="C70" s="11"/>
      <c r="D70" s="11"/>
      <c r="E70" s="11"/>
      <c r="F70" s="11"/>
      <c r="G70" s="11"/>
      <c r="H70" s="11"/>
      <c r="I70" s="11"/>
    </row>
    <row r="71" spans="1:9">
      <c r="A71" s="26"/>
      <c r="B71" s="11"/>
      <c r="C71" s="11"/>
      <c r="D71" s="11"/>
      <c r="E71" s="11"/>
      <c r="F71" s="11"/>
      <c r="G71" s="11"/>
      <c r="H71" s="11"/>
      <c r="I71" s="11"/>
    </row>
    <row r="72" spans="1:9">
      <c r="A72" s="11"/>
      <c r="B72" s="11"/>
      <c r="C72" s="11"/>
      <c r="D72" s="11"/>
      <c r="E72" s="11"/>
      <c r="F72" s="11"/>
      <c r="G72" s="11"/>
      <c r="H72" s="11"/>
      <c r="I72" s="11"/>
    </row>
  </sheetData>
  <mergeCells count="45">
    <mergeCell ref="B9:B10"/>
    <mergeCell ref="B17:B18"/>
    <mergeCell ref="C17:D18"/>
    <mergeCell ref="E17:E18"/>
    <mergeCell ref="C9:D9"/>
    <mergeCell ref="B15:B16"/>
    <mergeCell ref="E15:E16"/>
    <mergeCell ref="C15:D15"/>
    <mergeCell ref="C16:D16"/>
    <mergeCell ref="E13:E14"/>
    <mergeCell ref="B11:B12"/>
    <mergeCell ref="C11:D12"/>
    <mergeCell ref="E11:E12"/>
    <mergeCell ref="B13:B14"/>
    <mergeCell ref="I17:I18"/>
    <mergeCell ref="I9:I10"/>
    <mergeCell ref="H9:H10"/>
    <mergeCell ref="E9:E10"/>
    <mergeCell ref="F17:G18"/>
    <mergeCell ref="H15:H16"/>
    <mergeCell ref="I15:I16"/>
    <mergeCell ref="F15:G15"/>
    <mergeCell ref="I11:I12"/>
    <mergeCell ref="F16:G16"/>
    <mergeCell ref="F11:G12"/>
    <mergeCell ref="F14:G14"/>
    <mergeCell ref="I13:I14"/>
    <mergeCell ref="F9:G9"/>
    <mergeCell ref="F13:G13"/>
    <mergeCell ref="F10:G10"/>
    <mergeCell ref="H13:H14"/>
    <mergeCell ref="B1:I1"/>
    <mergeCell ref="F7:G7"/>
    <mergeCell ref="F8:G8"/>
    <mergeCell ref="C7:D7"/>
    <mergeCell ref="C8:D8"/>
    <mergeCell ref="C5:D6"/>
    <mergeCell ref="F5:G6"/>
    <mergeCell ref="B7:B8"/>
    <mergeCell ref="I7:I8"/>
    <mergeCell ref="E7:E8"/>
    <mergeCell ref="H7:H8"/>
    <mergeCell ref="C10:D10"/>
    <mergeCell ref="C13:D13"/>
    <mergeCell ref="C14:D14"/>
  </mergeCells>
  <phoneticPr fontId="2"/>
  <pageMargins left="0.71" right="0.2" top="0.48" bottom="0.21" header="0.31" footer="0.23"/>
  <pageSetup paperSize="9" scale="89"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入力シート（ここ以外触らないこと）</vt:lpstr>
      <vt:lpstr>体積計算シート</vt:lpstr>
      <vt:lpstr>図</vt:lpstr>
      <vt:lpstr>安定計算シート</vt:lpstr>
      <vt:lpstr>安定計算シート!Print_Area</vt:lpstr>
      <vt:lpstr>図!Print_Area</vt:lpstr>
      <vt:lpstr>体積計算シート!Print_Area</vt:lpstr>
      <vt:lpstr>'入力シート（ここ以外触らないこと）'!Print_Area</vt:lpstr>
      <vt:lpstr>表紙!Print_Area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setup</cp:lastModifiedBy>
  <cp:lastPrinted>2013-02-04T07:36:14Z</cp:lastPrinted>
  <dcterms:created xsi:type="dcterms:W3CDTF">2000-07-25T05:06:38Z</dcterms:created>
  <dcterms:modified xsi:type="dcterms:W3CDTF">2013-03-15T05:28:34Z</dcterms:modified>
</cp:coreProperties>
</file>